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hedule" sheetId="1" state="visible" r:id="rId1"/>
    <sheet xmlns:r="http://schemas.openxmlformats.org/officeDocument/2006/relationships" name="This month" sheetId="2" state="visible" r:id="rId2"/>
    <sheet xmlns:r="http://schemas.openxmlformats.org/officeDocument/2006/relationships" name="Cars" sheetId="3" state="visible" r:id="rId3"/>
    <sheet xmlns:r="http://schemas.openxmlformats.org/officeDocument/2006/relationships" name="Intervals" sheetId="4" state="visible" r:id="rId4"/>
  </sheets>
  <definedNames>
    <definedName name="ItemIDs">'Intervals'!$A$4:$A$33</definedName>
    <definedName name="CarIDs">'Cars'!$A$4:$A$103</definedName>
    <definedName name="_xlnm.Print_Area" localSheetId="0">OFFSET('Schedule'!$A$1,0,0,3+COUNTIF('Schedule'!$A$4:$A$1003,"?*"),14)</definedName>
    <definedName name="_xlnm._FilterDatabase" localSheetId="0" hidden="1">'Schedule'!$A$3:$N$1003</definedName>
    <definedName name="_xlnm.Print_Titles" localSheetId="0">'Schedule'!$3:$3</definedName>
    <definedName name="_xlnm.Print_Area" localSheetId="1">OFFSET('This month'!$A$1,0,0,3+COUNT('This month'!$A$4:$A$203),11)</definedName>
    <definedName name="_xlnm.Print_Titles" localSheetId="1">'This month'!$3:$3</definedName>
    <definedName name="_xlnm.Print_Area" localSheetId="2">OFFSET('Cars'!$A$1,0,0,3+COUNTIF('Cars'!$A$4:$A$103,"?*"),10)</definedName>
    <definedName name="_xlnm.Print_Titles" localSheetId="2">'Cars'!$3:$3</definedName>
    <definedName name="_xlnm.Print_Area" localSheetId="3">OFFSET('Intervals'!$A$1,0,0,3+COUNTIF('Intervals'!$A$4:$A$33,"?*"),7)</definedName>
    <definedName name="_xlnm.Print_Titles" localSheetId="3">'Intervals'!$3:$3</definedName>
  </definedNames>
  <calcPr calcId="124519" fullCalcOnLoad="1"/>
</workbook>
</file>

<file path=xl/styles.xml><?xml version="1.0" encoding="utf-8"?>
<styleSheet xmlns="http://schemas.openxmlformats.org/spreadsheetml/2006/main">
  <numFmts count="2">
    <numFmt numFmtId="164" formatCode="yyyy-mm-dd"/>
    <numFmt numFmtId="165" formatCode="0.00000"/>
  </numFmts>
  <fonts count="7">
    <font>
      <name val="Calibri"/>
      <family val="2"/>
      <color theme="1"/>
      <sz val="11"/>
      <scheme val="minor"/>
    </font>
    <font>
      <name val="Arial"/>
      <b val="1"/>
      <color rgb="00FFFFFF"/>
      <sz val="14"/>
    </font>
    <font>
      <name val="Arial"/>
      <color rgb="00F2E6D3"/>
      <sz val="9"/>
    </font>
    <font>
      <name val="Arial"/>
      <color rgb="0012343B"/>
      <sz val="9"/>
    </font>
    <font>
      <name val="Arial"/>
      <b val="1"/>
      <color rgb="00FFFFFF"/>
      <sz val="10"/>
    </font>
    <font>
      <name val="Arial"/>
      <sz val="10"/>
    </font>
    <font>
      <name val="Arial"/>
      <i val="1"/>
      <color rgb="007F7F7F"/>
      <sz val="10"/>
    </font>
  </fonts>
  <fills count="6">
    <fill>
      <patternFill/>
    </fill>
    <fill>
      <patternFill patternType="gray125"/>
    </fill>
    <fill>
      <patternFill patternType="solid">
        <fgColor rgb="0012343B"/>
        <bgColor rgb="0012343B"/>
      </patternFill>
    </fill>
    <fill>
      <patternFill patternType="solid">
        <fgColor rgb="00F2E6D3"/>
        <bgColor rgb="00F2E6D3"/>
      </patternFill>
    </fill>
    <fill>
      <patternFill patternType="solid">
        <fgColor rgb="000E7C7B"/>
        <bgColor rgb="000E7C7B"/>
      </patternFill>
    </fill>
    <fill>
      <patternFill patternType="solid">
        <fgColor rgb="00FAF5EC"/>
        <bgColor rgb="00FAF5EC"/>
      </patternFill>
    </fill>
  </fills>
  <borders count="2">
    <border>
      <left/>
      <right/>
      <top/>
      <bottom/>
      <diagonal/>
    </border>
    <border>
      <left style="thin">
        <color rgb="00D5D9DB"/>
      </left>
      <right style="thin">
        <color rgb="00D5D9DB"/>
      </right>
      <top style="thin">
        <color rgb="00D5D9DB"/>
      </top>
      <bottom style="thin">
        <color rgb="00D5D9DB"/>
      </bottom>
    </border>
  </borders>
  <cellStyleXfs count="1">
    <xf numFmtId="0" fontId="0" fillId="0" borderId="0"/>
  </cellStyleXfs>
  <cellXfs count="25">
    <xf numFmtId="0" fontId="0" fillId="0" borderId="0" pivotButton="0" quotePrefix="0" xfId="0"/>
    <xf numFmtId="0" fontId="1" fillId="2" borderId="0" applyAlignment="1" pivotButton="0" quotePrefix="0" xfId="0">
      <alignment vertical="center" readingOrder="1"/>
    </xf>
    <xf numFmtId="0" fontId="0" fillId="2" borderId="0" pivotButton="0" quotePrefix="0" xfId="0"/>
    <xf numFmtId="0" fontId="2" fillId="2" borderId="0" applyAlignment="1" pivotButton="0" quotePrefix="0" xfId="0">
      <alignment horizontal="right" vertical="center" readingOrder="1"/>
    </xf>
    <xf numFmtId="0" fontId="3" fillId="3" borderId="0" applyAlignment="1" pivotButton="0" quotePrefix="0" xfId="0">
      <alignment vertical="center" wrapText="1" readingOrder="1"/>
    </xf>
    <xf numFmtId="0" fontId="4" fillId="2" borderId="1" applyAlignment="1" pivotButton="0" quotePrefix="0" xfId="0">
      <alignment horizontal="center" vertical="center" wrapText="1"/>
    </xf>
    <xf numFmtId="0" fontId="4" fillId="4" borderId="1" applyAlignment="1" pivotButton="0" quotePrefix="0" xfId="0">
      <alignment horizontal="center" vertical="center" wrapText="1"/>
    </xf>
    <xf numFmtId="0" fontId="6" fillId="0" borderId="1" applyAlignment="1" pivotButton="0" quotePrefix="0" xfId="0">
      <alignment vertical="center"/>
    </xf>
    <xf numFmtId="0" fontId="6" fillId="5" borderId="1" applyAlignment="1" pivotButton="0" quotePrefix="0" xfId="0">
      <alignment vertical="center"/>
    </xf>
    <xf numFmtId="164" fontId="6" fillId="0" borderId="1" applyAlignment="1" pivotButton="0" quotePrefix="0" xfId="0">
      <alignment vertical="center"/>
    </xf>
    <xf numFmtId="3" fontId="6" fillId="0" borderId="1" applyAlignment="1" pivotButton="0" quotePrefix="0" xfId="0">
      <alignment vertical="center"/>
    </xf>
    <xf numFmtId="3" fontId="6" fillId="5" borderId="1" applyAlignment="1" pivotButton="0" quotePrefix="0" xfId="0">
      <alignment vertical="center"/>
    </xf>
    <xf numFmtId="164" fontId="6" fillId="5" borderId="1" applyAlignment="1" pivotButton="0" quotePrefix="0" xfId="0">
      <alignment vertical="center"/>
    </xf>
    <xf numFmtId="1" fontId="6" fillId="5" borderId="1" applyAlignment="1" pivotButton="0" quotePrefix="0" xfId="0">
      <alignment vertical="center"/>
    </xf>
    <xf numFmtId="165" fontId="6" fillId="5" borderId="1" applyAlignment="1" pivotButton="0" quotePrefix="0" xfId="0">
      <alignment vertical="center"/>
    </xf>
    <xf numFmtId="0" fontId="5" fillId="0" borderId="1" applyAlignment="1" pivotButton="0" quotePrefix="0" xfId="0">
      <alignment vertical="center"/>
    </xf>
    <xf numFmtId="0" fontId="5" fillId="5" borderId="1" applyAlignment="1" pivotButton="0" quotePrefix="0" xfId="0">
      <alignment vertical="center"/>
    </xf>
    <xf numFmtId="164" fontId="5" fillId="0" borderId="1" applyAlignment="1" pivotButton="0" quotePrefix="0" xfId="0">
      <alignment vertical="center"/>
    </xf>
    <xf numFmtId="3" fontId="5" fillId="0" borderId="1" applyAlignment="1" pivotButton="0" quotePrefix="0" xfId="0">
      <alignment vertical="center"/>
    </xf>
    <xf numFmtId="3" fontId="5" fillId="5" borderId="1" applyAlignment="1" pivotButton="0" quotePrefix="0" xfId="0">
      <alignment vertical="center"/>
    </xf>
    <xf numFmtId="164" fontId="5" fillId="5" borderId="1" applyAlignment="1" pivotButton="0" quotePrefix="0" xfId="0">
      <alignment vertical="center"/>
    </xf>
    <xf numFmtId="1" fontId="5" fillId="5" borderId="1" applyAlignment="1" pivotButton="0" quotePrefix="0" xfId="0">
      <alignment vertical="center"/>
    </xf>
    <xf numFmtId="165" fontId="5" fillId="5" borderId="1" applyAlignment="1" pivotButton="0" quotePrefix="0" xfId="0">
      <alignment vertical="center"/>
    </xf>
    <xf numFmtId="1" fontId="6" fillId="0" borderId="1" applyAlignment="1" pivotButton="0" quotePrefix="0" xfId="0">
      <alignment vertical="center"/>
    </xf>
    <xf numFmtId="1" fontId="5" fillId="0" borderId="1" applyAlignment="1" pivotButton="0" quotePrefix="0" xfId="0">
      <alignment vertical="center"/>
    </xf>
  </cellXfs>
  <cellStyles count="1">
    <cellStyle name="Normal" xfId="0" builtinId="0" hidden="0"/>
  </cellStyles>
  <dxfs count="3">
    <dxf>
      <font>
        <b val="1"/>
        <color rgb="009B2C12"/>
      </font>
      <fill>
        <patternFill patternType="solid">
          <fgColor rgb="00FADDD5"/>
          <bgColor rgb="00FADDD5"/>
        </patternFill>
      </fill>
    </dxf>
    <dxf>
      <font>
        <b val="1"/>
      </font>
      <fill>
        <patternFill patternType="solid">
          <fgColor rgb="00F2E6D3"/>
          <bgColor rgb="00F2E6D3"/>
        </patternFill>
      </fill>
    </dxf>
    <dxf>
      <fill>
        <patternFill patternType="solid">
          <fgColor rgb="00F2E6D3"/>
          <bgColor rgb="00F2E6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1003"/>
  <sheetViews>
    <sheetView showGridLines="0" rightToLeft="0" tabSelected="1" zoomScale="110" workbookViewId="0">
      <pane xSplit="3" ySplit="3" topLeftCell="D4" activePane="bottomRight" state="frozen"/>
      <selection pane="topRight"/>
      <selection pane="bottomLeft"/>
      <selection pane="bottomRight" activeCell="A1" sqref="A1"/>
    </sheetView>
  </sheetViews>
  <sheetFormatPr baseColWidth="8" defaultRowHeight="15"/>
  <cols>
    <col width="11" customWidth="1" min="1" max="1"/>
    <col width="9" customWidth="1" min="2" max="2"/>
    <col width="28" customWidth="1" min="3" max="3"/>
    <col width="13" customWidth="1" min="4" max="4"/>
    <col width="13" customWidth="1" min="5" max="5"/>
    <col width="13" customWidth="1" min="6" max="6"/>
    <col width="13" customWidth="1" min="7" max="7"/>
    <col width="12" customWidth="1" min="8" max="8"/>
    <col width="12" customWidth="1" min="9" max="9"/>
    <col width="10" customWidth="1" min="10" max="10"/>
    <col width="13" customWidth="1" min="11" max="11"/>
    <col width="12" customWidth="1" min="12" max="12"/>
    <col width="11" customWidth="1" min="13" max="13"/>
    <col width="20" customWidth="1" min="14" max="14"/>
    <col hidden="1" width="8" customWidth="1" min="15" max="15"/>
  </cols>
  <sheetData>
    <row r="1" ht="30" customHeight="1">
      <c r="A1" s="1" t="inlineStr">
        <is>
          <t>Fleet maintenance schedule · Schedule</t>
        </is>
      </c>
      <c r="B1" s="2" t="n"/>
      <c r="C1" s="2" t="n"/>
      <c r="D1" s="2" t="n"/>
      <c r="E1" s="2" t="n"/>
      <c r="F1" s="2" t="n"/>
      <c r="G1" s="2" t="n"/>
      <c r="H1" s="2" t="n"/>
      <c r="I1" s="2" t="n"/>
      <c r="J1" s="2" t="n"/>
      <c r="K1" s="2" t="n"/>
      <c r="L1" s="2" t="n"/>
      <c r="M1" s="2" t="n"/>
      <c r="N1" s="3" t="inlineStr">
        <is>
          <t>From Sayarti+ — sayartiplus.com</t>
        </is>
      </c>
    </row>
    <row r="2" ht="30" customHeight="1">
      <c r="A2" s="4" t="inlineStr">
        <is>
          <t>One row per car × item. After a service, update the date and odometer on the same row and the next due date moves on its own. Sort by “Whichever first” to see the most urgent first. Grey rows are samples: delete them.</t>
        </is>
      </c>
    </row>
    <row r="3" ht="44" customHeight="1">
      <c r="A3" s="5" t="inlineStr">
        <is>
          <t>Car ID</t>
        </is>
      </c>
      <c r="B3" s="5" t="inlineStr">
        <is>
          <t>Item ID</t>
        </is>
      </c>
      <c r="C3" s="6" t="inlineStr">
        <is>
          <t>Item</t>
        </is>
      </c>
      <c r="D3" s="5" t="inlineStr">
        <is>
          <t>Last service date</t>
        </is>
      </c>
      <c r="E3" s="5" t="inlineStr">
        <is>
          <t>Odometer at last service</t>
        </is>
      </c>
      <c r="F3" s="6" t="inlineStr">
        <is>
          <t>Next due (km)</t>
        </is>
      </c>
      <c r="G3" s="6" t="inlineStr">
        <is>
          <t>Next due (date)</t>
        </is>
      </c>
      <c r="H3" s="6" t="inlineStr">
        <is>
          <t>Current odometer</t>
        </is>
      </c>
      <c r="I3" s="6" t="inlineStr">
        <is>
          <t>Km left</t>
        </is>
      </c>
      <c r="J3" s="6" t="inlineStr">
        <is>
          <t>Days left</t>
        </is>
      </c>
      <c r="K3" s="6" t="inlineStr">
        <is>
          <t>Days left by km (estimate)</t>
        </is>
      </c>
      <c r="L3" s="6" t="inlineStr">
        <is>
          <t>Whichever first (days)</t>
        </is>
      </c>
      <c r="M3" s="6" t="inlineStr">
        <is>
          <t>Status</t>
        </is>
      </c>
      <c r="N3" s="5" t="inlineStr">
        <is>
          <t>Notes</t>
        </is>
      </c>
      <c r="O3" s="6" t="inlineStr">
        <is>
          <t>Sort key</t>
        </is>
      </c>
    </row>
    <row r="4">
      <c r="A4" s="7" t="inlineStr">
        <is>
          <t>C01</t>
        </is>
      </c>
      <c r="B4" s="7" t="inlineStr">
        <is>
          <t>M01</t>
        </is>
      </c>
      <c r="C4" s="8">
        <f>IF($B4="","",IFERROR(INDEX('Intervals'!$B$4:$B$33,MATCH($B4,'Intervals'!$A$4:$A$33,0)),""))</f>
        <v/>
      </c>
      <c r="D4" s="9">
        <f>TODAY()-150</f>
        <v/>
      </c>
      <c r="E4" s="10" t="n">
        <v>42300</v>
      </c>
      <c r="F4" s="11">
        <f>IF(OR($B4="",$E4=""),"",IFERROR(IF(AND(INDEX('Intervals'!$G$4:$G$33,MATCH($B4,'Intervals'!$A$4:$A$33,0))&lt;&gt;"No",N(INDEX('Intervals'!$C$4:$C$33,MATCH($B4,'Intervals'!$A$4:$A$33,0)))&gt;0),$E4+N(INDEX('Intervals'!$C$4:$C$33,MATCH($B4,'Intervals'!$A$4:$A$33,0))),""),""))</f>
        <v/>
      </c>
      <c r="G4" s="12">
        <f>IF(OR($B4="",$D4=""),"",IFERROR(IF(AND(INDEX('Intervals'!$G$4:$G$33,MATCH($B4,'Intervals'!$A$4:$A$33,0))&lt;&gt;"No",N(INDEX('Intervals'!$D$4:$D$33,MATCH($B4,'Intervals'!$A$4:$A$33,0)))&gt;0),EDATE($D4,N(INDEX('Intervals'!$D$4:$D$33,MATCH($B4,'Intervals'!$A$4:$A$33,0)))),""),""))</f>
        <v/>
      </c>
      <c r="H4" s="11">
        <f>IF($A4="","",IFERROR(IF(N(INDEX('Cars'!$H$4:$H$103,MATCH($A4,'Cars'!$A$4:$A$103,0)))&gt;0,INDEX('Cars'!$H$4:$H$103,MATCH($A4,'Cars'!$A$4:$A$103,0)),""),""))</f>
        <v/>
      </c>
      <c r="I4" s="11">
        <f>IF(OR($F4="",$H4=""),"",$F4-$H4)</f>
        <v/>
      </c>
      <c r="J4" s="13">
        <f>IF($G4="","",$G4-TODAY())</f>
        <v/>
      </c>
      <c r="K4" s="13">
        <f>IF($I4="","",IFERROR(IF(N(INDEX('Cars'!$J$4:$J$103,MATCH($A4,'Cars'!$A$4:$A$103,0)))&gt;0,ROUND($I4/INDEX('Cars'!$J$4:$J$103,MATCH($A4,'Cars'!$A$4:$A$103,0))*30,0),""),""))</f>
        <v/>
      </c>
      <c r="L4" s="13">
        <f>IF(AND($J4="",$K4=""),"",MIN(IF($J4="",99999,$J4),IF($K4="",99999,$K4)))</f>
        <v/>
      </c>
      <c r="M4" s="8">
        <f>IF(AND($I4="",$J4=""),"",IF(OR(AND($I4&lt;&gt;"",N($I4)&lt;0),AND($J4&lt;&gt;"",N($J4)&lt;0)),"Overdue",IF(OR(AND($I4&lt;&gt;"",N($I4)&lt;=IFERROR(INDEX('Intervals'!$E$4:$E$33,MATCH($B4,'Intervals'!$A$4:$A$33,0)),500)),AND($J4&lt;&gt;"",N($J4)&lt;=IFERROR(INDEX('Intervals'!$F$4:$F$33,MATCH($B4,'Intervals'!$A$4:$A$33,0)),14))),"Due soon","OK")))</f>
        <v/>
      </c>
      <c r="N4" s="7" t="n"/>
      <c r="O4" s="14">
        <f>IF(OR($M4="",$M4="OK"),"",$L4+ROW()/100000)</f>
        <v/>
      </c>
    </row>
    <row r="5">
      <c r="A5" s="7" t="inlineStr">
        <is>
          <t>C01</t>
        </is>
      </c>
      <c r="B5" s="7" t="inlineStr">
        <is>
          <t>M02</t>
        </is>
      </c>
      <c r="C5" s="8">
        <f>IF($B5="","",IFERROR(INDEX('Intervals'!$B$4:$B$33,MATCH($B5,'Intervals'!$A$4:$A$33,0)),""))</f>
        <v/>
      </c>
      <c r="D5" s="9">
        <f>TODAY()-200</f>
        <v/>
      </c>
      <c r="E5" s="10" t="n">
        <v>40000</v>
      </c>
      <c r="F5" s="11">
        <f>IF(OR($B5="",$E5=""),"",IFERROR(IF(AND(INDEX('Intervals'!$G$4:$G$33,MATCH($B5,'Intervals'!$A$4:$A$33,0))&lt;&gt;"No",N(INDEX('Intervals'!$C$4:$C$33,MATCH($B5,'Intervals'!$A$4:$A$33,0)))&gt;0),$E5+N(INDEX('Intervals'!$C$4:$C$33,MATCH($B5,'Intervals'!$A$4:$A$33,0))),""),""))</f>
        <v/>
      </c>
      <c r="G5" s="12">
        <f>IF(OR($B5="",$D5=""),"",IFERROR(IF(AND(INDEX('Intervals'!$G$4:$G$33,MATCH($B5,'Intervals'!$A$4:$A$33,0))&lt;&gt;"No",N(INDEX('Intervals'!$D$4:$D$33,MATCH($B5,'Intervals'!$A$4:$A$33,0)))&gt;0),EDATE($D5,N(INDEX('Intervals'!$D$4:$D$33,MATCH($B5,'Intervals'!$A$4:$A$33,0)))),""),""))</f>
        <v/>
      </c>
      <c r="H5" s="11">
        <f>IF($A5="","",IFERROR(IF(N(INDEX('Cars'!$H$4:$H$103,MATCH($A5,'Cars'!$A$4:$A$103,0)))&gt;0,INDEX('Cars'!$H$4:$H$103,MATCH($A5,'Cars'!$A$4:$A$103,0)),""),""))</f>
        <v/>
      </c>
      <c r="I5" s="11">
        <f>IF(OR($F5="",$H5=""),"",$F5-$H5)</f>
        <v/>
      </c>
      <c r="J5" s="13">
        <f>IF($G5="","",$G5-TODAY())</f>
        <v/>
      </c>
      <c r="K5" s="13">
        <f>IF($I5="","",IFERROR(IF(N(INDEX('Cars'!$J$4:$J$103,MATCH($A5,'Cars'!$A$4:$A$103,0)))&gt;0,ROUND($I5/INDEX('Cars'!$J$4:$J$103,MATCH($A5,'Cars'!$A$4:$A$103,0))*30,0),""),""))</f>
        <v/>
      </c>
      <c r="L5" s="13">
        <f>IF(AND($J5="",$K5=""),"",MIN(IF($J5="",99999,$J5),IF($K5="",99999,$K5)))</f>
        <v/>
      </c>
      <c r="M5" s="8">
        <f>IF(AND($I5="",$J5=""),"",IF(OR(AND($I5&lt;&gt;"",N($I5)&lt;0),AND($J5&lt;&gt;"",N($J5)&lt;0)),"Overdue",IF(OR(AND($I5&lt;&gt;"",N($I5)&lt;=IFERROR(INDEX('Intervals'!$E$4:$E$33,MATCH($B5,'Intervals'!$A$4:$A$33,0)),500)),AND($J5&lt;&gt;"",N($J5)&lt;=IFERROR(INDEX('Intervals'!$F$4:$F$33,MATCH($B5,'Intervals'!$A$4:$A$33,0)),14))),"Due soon","OK")))</f>
        <v/>
      </c>
      <c r="N5" s="7" t="n"/>
      <c r="O5" s="14">
        <f>IF(OR($M5="",$M5="OK"),"",$L5+ROW()/100000)</f>
        <v/>
      </c>
    </row>
    <row r="6">
      <c r="A6" s="7" t="inlineStr">
        <is>
          <t>C01</t>
        </is>
      </c>
      <c r="B6" s="7" t="inlineStr">
        <is>
          <t>M03</t>
        </is>
      </c>
      <c r="C6" s="8">
        <f>IF($B6="","",IFERROR(INDEX('Intervals'!$B$4:$B$33,MATCH($B6,'Intervals'!$A$4:$A$33,0)),""))</f>
        <v/>
      </c>
      <c r="D6" s="9">
        <f>TODAY()-200</f>
        <v/>
      </c>
      <c r="E6" s="10" t="n">
        <v>40000</v>
      </c>
      <c r="F6" s="11">
        <f>IF(OR($B6="",$E6=""),"",IFERROR(IF(AND(INDEX('Intervals'!$G$4:$G$33,MATCH($B6,'Intervals'!$A$4:$A$33,0))&lt;&gt;"No",N(INDEX('Intervals'!$C$4:$C$33,MATCH($B6,'Intervals'!$A$4:$A$33,0)))&gt;0),$E6+N(INDEX('Intervals'!$C$4:$C$33,MATCH($B6,'Intervals'!$A$4:$A$33,0))),""),""))</f>
        <v/>
      </c>
      <c r="G6" s="12">
        <f>IF(OR($B6="",$D6=""),"",IFERROR(IF(AND(INDEX('Intervals'!$G$4:$G$33,MATCH($B6,'Intervals'!$A$4:$A$33,0))&lt;&gt;"No",N(INDEX('Intervals'!$D$4:$D$33,MATCH($B6,'Intervals'!$A$4:$A$33,0)))&gt;0),EDATE($D6,N(INDEX('Intervals'!$D$4:$D$33,MATCH($B6,'Intervals'!$A$4:$A$33,0)))),""),""))</f>
        <v/>
      </c>
      <c r="H6" s="11">
        <f>IF($A6="","",IFERROR(IF(N(INDEX('Cars'!$H$4:$H$103,MATCH($A6,'Cars'!$A$4:$A$103,0)))&gt;0,INDEX('Cars'!$H$4:$H$103,MATCH($A6,'Cars'!$A$4:$A$103,0)),""),""))</f>
        <v/>
      </c>
      <c r="I6" s="11">
        <f>IF(OR($F6="",$H6=""),"",$F6-$H6)</f>
        <v/>
      </c>
      <c r="J6" s="13">
        <f>IF($G6="","",$G6-TODAY())</f>
        <v/>
      </c>
      <c r="K6" s="13">
        <f>IF($I6="","",IFERROR(IF(N(INDEX('Cars'!$J$4:$J$103,MATCH($A6,'Cars'!$A$4:$A$103,0)))&gt;0,ROUND($I6/INDEX('Cars'!$J$4:$J$103,MATCH($A6,'Cars'!$A$4:$A$103,0))*30,0),""),""))</f>
        <v/>
      </c>
      <c r="L6" s="13">
        <f>IF(AND($J6="",$K6=""),"",MIN(IF($J6="",99999,$J6),IF($K6="",99999,$K6)))</f>
        <v/>
      </c>
      <c r="M6" s="8">
        <f>IF(AND($I6="",$J6=""),"",IF(OR(AND($I6&lt;&gt;"",N($I6)&lt;0),AND($J6&lt;&gt;"",N($J6)&lt;0)),"Overdue",IF(OR(AND($I6&lt;&gt;"",N($I6)&lt;=IFERROR(INDEX('Intervals'!$E$4:$E$33,MATCH($B6,'Intervals'!$A$4:$A$33,0)),500)),AND($J6&lt;&gt;"",N($J6)&lt;=IFERROR(INDEX('Intervals'!$F$4:$F$33,MATCH($B6,'Intervals'!$A$4:$A$33,0)),14))),"Due soon","OK")))</f>
        <v/>
      </c>
      <c r="N6" s="7" t="n"/>
      <c r="O6" s="14">
        <f>IF(OR($M6="",$M6="OK"),"",$L6+ROW()/100000)</f>
        <v/>
      </c>
    </row>
    <row r="7">
      <c r="A7" s="7" t="inlineStr">
        <is>
          <t>C01</t>
        </is>
      </c>
      <c r="B7" s="7" t="inlineStr">
        <is>
          <t>M04</t>
        </is>
      </c>
      <c r="C7" s="8">
        <f>IF($B7="","",IFERROR(INDEX('Intervals'!$B$4:$B$33,MATCH($B7,'Intervals'!$A$4:$A$33,0)),""))</f>
        <v/>
      </c>
      <c r="D7" s="9">
        <f>TODAY()-330</f>
        <v/>
      </c>
      <c r="E7" s="10" t="n">
        <v>37500</v>
      </c>
      <c r="F7" s="11">
        <f>IF(OR($B7="",$E7=""),"",IFERROR(IF(AND(INDEX('Intervals'!$G$4:$G$33,MATCH($B7,'Intervals'!$A$4:$A$33,0))&lt;&gt;"No",N(INDEX('Intervals'!$C$4:$C$33,MATCH($B7,'Intervals'!$A$4:$A$33,0)))&gt;0),$E7+N(INDEX('Intervals'!$C$4:$C$33,MATCH($B7,'Intervals'!$A$4:$A$33,0))),""),""))</f>
        <v/>
      </c>
      <c r="G7" s="12">
        <f>IF(OR($B7="",$D7=""),"",IFERROR(IF(AND(INDEX('Intervals'!$G$4:$G$33,MATCH($B7,'Intervals'!$A$4:$A$33,0))&lt;&gt;"No",N(INDEX('Intervals'!$D$4:$D$33,MATCH($B7,'Intervals'!$A$4:$A$33,0)))&gt;0),EDATE($D7,N(INDEX('Intervals'!$D$4:$D$33,MATCH($B7,'Intervals'!$A$4:$A$33,0)))),""),""))</f>
        <v/>
      </c>
      <c r="H7" s="11">
        <f>IF($A7="","",IFERROR(IF(N(INDEX('Cars'!$H$4:$H$103,MATCH($A7,'Cars'!$A$4:$A$103,0)))&gt;0,INDEX('Cars'!$H$4:$H$103,MATCH($A7,'Cars'!$A$4:$A$103,0)),""),""))</f>
        <v/>
      </c>
      <c r="I7" s="11">
        <f>IF(OR($F7="",$H7=""),"",$F7-$H7)</f>
        <v/>
      </c>
      <c r="J7" s="13">
        <f>IF($G7="","",$G7-TODAY())</f>
        <v/>
      </c>
      <c r="K7" s="13">
        <f>IF($I7="","",IFERROR(IF(N(INDEX('Cars'!$J$4:$J$103,MATCH($A7,'Cars'!$A$4:$A$103,0)))&gt;0,ROUND($I7/INDEX('Cars'!$J$4:$J$103,MATCH($A7,'Cars'!$A$4:$A$103,0))*30,0),""),""))</f>
        <v/>
      </c>
      <c r="L7" s="13">
        <f>IF(AND($J7="",$K7=""),"",MIN(IF($J7="",99999,$J7),IF($K7="",99999,$K7)))</f>
        <v/>
      </c>
      <c r="M7" s="8">
        <f>IF(AND($I7="",$J7=""),"",IF(OR(AND($I7&lt;&gt;"",N($I7)&lt;0),AND($J7&lt;&gt;"",N($J7)&lt;0)),"Overdue",IF(OR(AND($I7&lt;&gt;"",N($I7)&lt;=IFERROR(INDEX('Intervals'!$E$4:$E$33,MATCH($B7,'Intervals'!$A$4:$A$33,0)),500)),AND($J7&lt;&gt;"",N($J7)&lt;=IFERROR(INDEX('Intervals'!$F$4:$F$33,MATCH($B7,'Intervals'!$A$4:$A$33,0)),14))),"Due soon","OK")))</f>
        <v/>
      </c>
      <c r="N7" s="7" t="n"/>
      <c r="O7" s="14">
        <f>IF(OR($M7="",$M7="OK"),"",$L7+ROW()/100000)</f>
        <v/>
      </c>
    </row>
    <row r="8">
      <c r="A8" s="7" t="inlineStr">
        <is>
          <t>C01</t>
        </is>
      </c>
      <c r="B8" s="7" t="inlineStr">
        <is>
          <t>M05</t>
        </is>
      </c>
      <c r="C8" s="8">
        <f>IF($B8="","",IFERROR(INDEX('Intervals'!$B$4:$B$33,MATCH($B8,'Intervals'!$A$4:$A$33,0)),""))</f>
        <v/>
      </c>
      <c r="D8" s="9">
        <f>TODAY()-175</f>
        <v/>
      </c>
      <c r="E8" s="10" t="n">
        <v>41800</v>
      </c>
      <c r="F8" s="11">
        <f>IF(OR($B8="",$E8=""),"",IFERROR(IF(AND(INDEX('Intervals'!$G$4:$G$33,MATCH($B8,'Intervals'!$A$4:$A$33,0))&lt;&gt;"No",N(INDEX('Intervals'!$C$4:$C$33,MATCH($B8,'Intervals'!$A$4:$A$33,0)))&gt;0),$E8+N(INDEX('Intervals'!$C$4:$C$33,MATCH($B8,'Intervals'!$A$4:$A$33,0))),""),""))</f>
        <v/>
      </c>
      <c r="G8" s="12">
        <f>IF(OR($B8="",$D8=""),"",IFERROR(IF(AND(INDEX('Intervals'!$G$4:$G$33,MATCH($B8,'Intervals'!$A$4:$A$33,0))&lt;&gt;"No",N(INDEX('Intervals'!$D$4:$D$33,MATCH($B8,'Intervals'!$A$4:$A$33,0)))&gt;0),EDATE($D8,N(INDEX('Intervals'!$D$4:$D$33,MATCH($B8,'Intervals'!$A$4:$A$33,0)))),""),""))</f>
        <v/>
      </c>
      <c r="H8" s="11">
        <f>IF($A8="","",IFERROR(IF(N(INDEX('Cars'!$H$4:$H$103,MATCH($A8,'Cars'!$A$4:$A$103,0)))&gt;0,INDEX('Cars'!$H$4:$H$103,MATCH($A8,'Cars'!$A$4:$A$103,0)),""),""))</f>
        <v/>
      </c>
      <c r="I8" s="11">
        <f>IF(OR($F8="",$H8=""),"",$F8-$H8)</f>
        <v/>
      </c>
      <c r="J8" s="13">
        <f>IF($G8="","",$G8-TODAY())</f>
        <v/>
      </c>
      <c r="K8" s="13">
        <f>IF($I8="","",IFERROR(IF(N(INDEX('Cars'!$J$4:$J$103,MATCH($A8,'Cars'!$A$4:$A$103,0)))&gt;0,ROUND($I8/INDEX('Cars'!$J$4:$J$103,MATCH($A8,'Cars'!$A$4:$A$103,0))*30,0),""),""))</f>
        <v/>
      </c>
      <c r="L8" s="13">
        <f>IF(AND($J8="",$K8=""),"",MIN(IF($J8="",99999,$J8),IF($K8="",99999,$K8)))</f>
        <v/>
      </c>
      <c r="M8" s="8">
        <f>IF(AND($I8="",$J8=""),"",IF(OR(AND($I8&lt;&gt;"",N($I8)&lt;0),AND($J8&lt;&gt;"",N($J8)&lt;0)),"Overdue",IF(OR(AND($I8&lt;&gt;"",N($I8)&lt;=IFERROR(INDEX('Intervals'!$E$4:$E$33,MATCH($B8,'Intervals'!$A$4:$A$33,0)),500)),AND($J8&lt;&gt;"",N($J8)&lt;=IFERROR(INDEX('Intervals'!$F$4:$F$33,MATCH($B8,'Intervals'!$A$4:$A$33,0)),14))),"Due soon","OK")))</f>
        <v/>
      </c>
      <c r="N8" s="7" t="n"/>
      <c r="O8" s="14">
        <f>IF(OR($M8="",$M8="OK"),"",$L8+ROW()/100000)</f>
        <v/>
      </c>
    </row>
    <row r="9">
      <c r="A9" s="7" t="inlineStr">
        <is>
          <t>C01</t>
        </is>
      </c>
      <c r="B9" s="7" t="inlineStr">
        <is>
          <t>M07</t>
        </is>
      </c>
      <c r="C9" s="8">
        <f>IF($B9="","",IFERROR(INDEX('Intervals'!$B$4:$B$33,MATCH($B9,'Intervals'!$A$4:$A$33,0)),""))</f>
        <v/>
      </c>
      <c r="D9" s="9">
        <f>TODAY()-120</f>
        <v/>
      </c>
      <c r="E9" s="10" t="n">
        <v>41000</v>
      </c>
      <c r="F9" s="11">
        <f>IF(OR($B9="",$E9=""),"",IFERROR(IF(AND(INDEX('Intervals'!$G$4:$G$33,MATCH($B9,'Intervals'!$A$4:$A$33,0))&lt;&gt;"No",N(INDEX('Intervals'!$C$4:$C$33,MATCH($B9,'Intervals'!$A$4:$A$33,0)))&gt;0),$E9+N(INDEX('Intervals'!$C$4:$C$33,MATCH($B9,'Intervals'!$A$4:$A$33,0))),""),""))</f>
        <v/>
      </c>
      <c r="G9" s="12">
        <f>IF(OR($B9="",$D9=""),"",IFERROR(IF(AND(INDEX('Intervals'!$G$4:$G$33,MATCH($B9,'Intervals'!$A$4:$A$33,0))&lt;&gt;"No",N(INDEX('Intervals'!$D$4:$D$33,MATCH($B9,'Intervals'!$A$4:$A$33,0)))&gt;0),EDATE($D9,N(INDEX('Intervals'!$D$4:$D$33,MATCH($B9,'Intervals'!$A$4:$A$33,0)))),""),""))</f>
        <v/>
      </c>
      <c r="H9" s="11">
        <f>IF($A9="","",IFERROR(IF(N(INDEX('Cars'!$H$4:$H$103,MATCH($A9,'Cars'!$A$4:$A$103,0)))&gt;0,INDEX('Cars'!$H$4:$H$103,MATCH($A9,'Cars'!$A$4:$A$103,0)),""),""))</f>
        <v/>
      </c>
      <c r="I9" s="11">
        <f>IF(OR($F9="",$H9=""),"",$F9-$H9)</f>
        <v/>
      </c>
      <c r="J9" s="13">
        <f>IF($G9="","",$G9-TODAY())</f>
        <v/>
      </c>
      <c r="K9" s="13">
        <f>IF($I9="","",IFERROR(IF(N(INDEX('Cars'!$J$4:$J$103,MATCH($A9,'Cars'!$A$4:$A$103,0)))&gt;0,ROUND($I9/INDEX('Cars'!$J$4:$J$103,MATCH($A9,'Cars'!$A$4:$A$103,0))*30,0),""),""))</f>
        <v/>
      </c>
      <c r="L9" s="13">
        <f>IF(AND($J9="",$K9=""),"",MIN(IF($J9="",99999,$J9),IF($K9="",99999,$K9)))</f>
        <v/>
      </c>
      <c r="M9" s="8">
        <f>IF(AND($I9="",$J9=""),"",IF(OR(AND($I9&lt;&gt;"",N($I9)&lt;0),AND($J9&lt;&gt;"",N($J9)&lt;0)),"Overdue",IF(OR(AND($I9&lt;&gt;"",N($I9)&lt;=IFERROR(INDEX('Intervals'!$E$4:$E$33,MATCH($B9,'Intervals'!$A$4:$A$33,0)),500)),AND($J9&lt;&gt;"",N($J9)&lt;=IFERROR(INDEX('Intervals'!$F$4:$F$33,MATCH($B9,'Intervals'!$A$4:$A$33,0)),14))),"Due soon","OK")))</f>
        <v/>
      </c>
      <c r="N9" s="7" t="n"/>
      <c r="O9" s="14">
        <f>IF(OR($M9="",$M9="OK"),"",$L9+ROW()/100000)</f>
        <v/>
      </c>
    </row>
    <row r="10">
      <c r="A10" s="7" t="inlineStr">
        <is>
          <t>C01</t>
        </is>
      </c>
      <c r="B10" s="7" t="inlineStr">
        <is>
          <t>M09</t>
        </is>
      </c>
      <c r="C10" s="8">
        <f>IF($B10="","",IFERROR(INDEX('Intervals'!$B$4:$B$33,MATCH($B10,'Intervals'!$A$4:$A$33,0)),""))</f>
        <v/>
      </c>
      <c r="D10" s="9">
        <f>TODAY()-260</f>
        <v/>
      </c>
      <c r="E10" s="10" t="n">
        <v>36000</v>
      </c>
      <c r="F10" s="11">
        <f>IF(OR($B10="",$E10=""),"",IFERROR(IF(AND(INDEX('Intervals'!$G$4:$G$33,MATCH($B10,'Intervals'!$A$4:$A$33,0))&lt;&gt;"No",N(INDEX('Intervals'!$C$4:$C$33,MATCH($B10,'Intervals'!$A$4:$A$33,0)))&gt;0),$E10+N(INDEX('Intervals'!$C$4:$C$33,MATCH($B10,'Intervals'!$A$4:$A$33,0))),""),""))</f>
        <v/>
      </c>
      <c r="G10" s="12">
        <f>IF(OR($B10="",$D10=""),"",IFERROR(IF(AND(INDEX('Intervals'!$G$4:$G$33,MATCH($B10,'Intervals'!$A$4:$A$33,0))&lt;&gt;"No",N(INDEX('Intervals'!$D$4:$D$33,MATCH($B10,'Intervals'!$A$4:$A$33,0)))&gt;0),EDATE($D10,N(INDEX('Intervals'!$D$4:$D$33,MATCH($B10,'Intervals'!$A$4:$A$33,0)))),""),""))</f>
        <v/>
      </c>
      <c r="H10" s="11">
        <f>IF($A10="","",IFERROR(IF(N(INDEX('Cars'!$H$4:$H$103,MATCH($A10,'Cars'!$A$4:$A$103,0)))&gt;0,INDEX('Cars'!$H$4:$H$103,MATCH($A10,'Cars'!$A$4:$A$103,0)),""),""))</f>
        <v/>
      </c>
      <c r="I10" s="11">
        <f>IF(OR($F10="",$H10=""),"",$F10-$H10)</f>
        <v/>
      </c>
      <c r="J10" s="13">
        <f>IF($G10="","",$G10-TODAY())</f>
        <v/>
      </c>
      <c r="K10" s="13">
        <f>IF($I10="","",IFERROR(IF(N(INDEX('Cars'!$J$4:$J$103,MATCH($A10,'Cars'!$A$4:$A$103,0)))&gt;0,ROUND($I10/INDEX('Cars'!$J$4:$J$103,MATCH($A10,'Cars'!$A$4:$A$103,0))*30,0),""),""))</f>
        <v/>
      </c>
      <c r="L10" s="13">
        <f>IF(AND($J10="",$K10=""),"",MIN(IF($J10="",99999,$J10),IF($K10="",99999,$K10)))</f>
        <v/>
      </c>
      <c r="M10" s="8">
        <f>IF(AND($I10="",$J10=""),"",IF(OR(AND($I10&lt;&gt;"",N($I10)&lt;0),AND($J10&lt;&gt;"",N($J10)&lt;0)),"Overdue",IF(OR(AND($I10&lt;&gt;"",N($I10)&lt;=IFERROR(INDEX('Intervals'!$E$4:$E$33,MATCH($B10,'Intervals'!$A$4:$A$33,0)),500)),AND($J10&lt;&gt;"",N($J10)&lt;=IFERROR(INDEX('Intervals'!$F$4:$F$33,MATCH($B10,'Intervals'!$A$4:$A$33,0)),14))),"Due soon","OK")))</f>
        <v/>
      </c>
      <c r="N10" s="7" t="n"/>
      <c r="O10" s="14">
        <f>IF(OR($M10="",$M10="OK"),"",$L10+ROW()/100000)</f>
        <v/>
      </c>
    </row>
    <row r="11">
      <c r="A11" s="7" t="inlineStr">
        <is>
          <t>C01</t>
        </is>
      </c>
      <c r="B11" s="7" t="inlineStr">
        <is>
          <t>M11</t>
        </is>
      </c>
      <c r="C11" s="8">
        <f>IF($B11="","",IFERROR(INDEX('Intervals'!$B$4:$B$33,MATCH($B11,'Intervals'!$A$4:$A$33,0)),""))</f>
        <v/>
      </c>
      <c r="D11" s="9">
        <f>TODAY()-500</f>
        <v/>
      </c>
      <c r="E11" s="10" t="n">
        <v>30000</v>
      </c>
      <c r="F11" s="11">
        <f>IF(OR($B11="",$E11=""),"",IFERROR(IF(AND(INDEX('Intervals'!$G$4:$G$33,MATCH($B11,'Intervals'!$A$4:$A$33,0))&lt;&gt;"No",N(INDEX('Intervals'!$C$4:$C$33,MATCH($B11,'Intervals'!$A$4:$A$33,0)))&gt;0),$E11+N(INDEX('Intervals'!$C$4:$C$33,MATCH($B11,'Intervals'!$A$4:$A$33,0))),""),""))</f>
        <v/>
      </c>
      <c r="G11" s="12">
        <f>IF(OR($B11="",$D11=""),"",IFERROR(IF(AND(INDEX('Intervals'!$G$4:$G$33,MATCH($B11,'Intervals'!$A$4:$A$33,0))&lt;&gt;"No",N(INDEX('Intervals'!$D$4:$D$33,MATCH($B11,'Intervals'!$A$4:$A$33,0)))&gt;0),EDATE($D11,N(INDEX('Intervals'!$D$4:$D$33,MATCH($B11,'Intervals'!$A$4:$A$33,0)))),""),""))</f>
        <v/>
      </c>
      <c r="H11" s="11">
        <f>IF($A11="","",IFERROR(IF(N(INDEX('Cars'!$H$4:$H$103,MATCH($A11,'Cars'!$A$4:$A$103,0)))&gt;0,INDEX('Cars'!$H$4:$H$103,MATCH($A11,'Cars'!$A$4:$A$103,0)),""),""))</f>
        <v/>
      </c>
      <c r="I11" s="11">
        <f>IF(OR($F11="",$H11=""),"",$F11-$H11)</f>
        <v/>
      </c>
      <c r="J11" s="13">
        <f>IF($G11="","",$G11-TODAY())</f>
        <v/>
      </c>
      <c r="K11" s="13">
        <f>IF($I11="","",IFERROR(IF(N(INDEX('Cars'!$J$4:$J$103,MATCH($A11,'Cars'!$A$4:$A$103,0)))&gt;0,ROUND($I11/INDEX('Cars'!$J$4:$J$103,MATCH($A11,'Cars'!$A$4:$A$103,0))*30,0),""),""))</f>
        <v/>
      </c>
      <c r="L11" s="13">
        <f>IF(AND($J11="",$K11=""),"",MIN(IF($J11="",99999,$J11),IF($K11="",99999,$K11)))</f>
        <v/>
      </c>
      <c r="M11" s="8">
        <f>IF(AND($I11="",$J11=""),"",IF(OR(AND($I11&lt;&gt;"",N($I11)&lt;0),AND($J11&lt;&gt;"",N($J11)&lt;0)),"Overdue",IF(OR(AND($I11&lt;&gt;"",N($I11)&lt;=IFERROR(INDEX('Intervals'!$E$4:$E$33,MATCH($B11,'Intervals'!$A$4:$A$33,0)),500)),AND($J11&lt;&gt;"",N($J11)&lt;=IFERROR(INDEX('Intervals'!$F$4:$F$33,MATCH($B11,'Intervals'!$A$4:$A$33,0)),14))),"Due soon","OK")))</f>
        <v/>
      </c>
      <c r="N11" s="7" t="n"/>
      <c r="O11" s="14">
        <f>IF(OR($M11="",$M11="OK"),"",$L11+ROW()/100000)</f>
        <v/>
      </c>
    </row>
    <row r="12">
      <c r="A12" s="7" t="inlineStr">
        <is>
          <t>C02</t>
        </is>
      </c>
      <c r="B12" s="7" t="inlineStr">
        <is>
          <t>M01</t>
        </is>
      </c>
      <c r="C12" s="8">
        <f>IF($B12="","",IFERROR(INDEX('Intervals'!$B$4:$B$33,MATCH($B12,'Intervals'!$A$4:$A$33,0)),""))</f>
        <v/>
      </c>
      <c r="D12" s="9">
        <f>TODAY()-120</f>
        <v/>
      </c>
      <c r="E12" s="10" t="n">
        <v>17500</v>
      </c>
      <c r="F12" s="11">
        <f>IF(OR($B12="",$E12=""),"",IFERROR(IF(AND(INDEX('Intervals'!$G$4:$G$33,MATCH($B12,'Intervals'!$A$4:$A$33,0))&lt;&gt;"No",N(INDEX('Intervals'!$C$4:$C$33,MATCH($B12,'Intervals'!$A$4:$A$33,0)))&gt;0),$E12+N(INDEX('Intervals'!$C$4:$C$33,MATCH($B12,'Intervals'!$A$4:$A$33,0))),""),""))</f>
        <v/>
      </c>
      <c r="G12" s="12">
        <f>IF(OR($B12="",$D12=""),"",IFERROR(IF(AND(INDEX('Intervals'!$G$4:$G$33,MATCH($B12,'Intervals'!$A$4:$A$33,0))&lt;&gt;"No",N(INDEX('Intervals'!$D$4:$D$33,MATCH($B12,'Intervals'!$A$4:$A$33,0)))&gt;0),EDATE($D12,N(INDEX('Intervals'!$D$4:$D$33,MATCH($B12,'Intervals'!$A$4:$A$33,0)))),""),""))</f>
        <v/>
      </c>
      <c r="H12" s="11">
        <f>IF($A12="","",IFERROR(IF(N(INDEX('Cars'!$H$4:$H$103,MATCH($A12,'Cars'!$A$4:$A$103,0)))&gt;0,INDEX('Cars'!$H$4:$H$103,MATCH($A12,'Cars'!$A$4:$A$103,0)),""),""))</f>
        <v/>
      </c>
      <c r="I12" s="11">
        <f>IF(OR($F12="",$H12=""),"",$F12-$H12)</f>
        <v/>
      </c>
      <c r="J12" s="13">
        <f>IF($G12="","",$G12-TODAY())</f>
        <v/>
      </c>
      <c r="K12" s="13">
        <f>IF($I12="","",IFERROR(IF(N(INDEX('Cars'!$J$4:$J$103,MATCH($A12,'Cars'!$A$4:$A$103,0)))&gt;0,ROUND($I12/INDEX('Cars'!$J$4:$J$103,MATCH($A12,'Cars'!$A$4:$A$103,0))*30,0),""),""))</f>
        <v/>
      </c>
      <c r="L12" s="13">
        <f>IF(AND($J12="",$K12=""),"",MIN(IF($J12="",99999,$J12),IF($K12="",99999,$K12)))</f>
        <v/>
      </c>
      <c r="M12" s="8">
        <f>IF(AND($I12="",$J12=""),"",IF(OR(AND($I12&lt;&gt;"",N($I12)&lt;0),AND($J12&lt;&gt;"",N($J12)&lt;0)),"Overdue",IF(OR(AND($I12&lt;&gt;"",N($I12)&lt;=IFERROR(INDEX('Intervals'!$E$4:$E$33,MATCH($B12,'Intervals'!$A$4:$A$33,0)),500)),AND($J12&lt;&gt;"",N($J12)&lt;=IFERROR(INDEX('Intervals'!$F$4:$F$33,MATCH($B12,'Intervals'!$A$4:$A$33,0)),14))),"Due soon","OK")))</f>
        <v/>
      </c>
      <c r="N12" s="7" t="n"/>
      <c r="O12" s="14">
        <f>IF(OR($M12="",$M12="OK"),"",$L12+ROW()/100000)</f>
        <v/>
      </c>
    </row>
    <row r="13">
      <c r="A13" s="7" t="inlineStr">
        <is>
          <t>C02</t>
        </is>
      </c>
      <c r="B13" s="7" t="inlineStr">
        <is>
          <t>M02</t>
        </is>
      </c>
      <c r="C13" s="8">
        <f>IF($B13="","",IFERROR(INDEX('Intervals'!$B$4:$B$33,MATCH($B13,'Intervals'!$A$4:$A$33,0)),""))</f>
        <v/>
      </c>
      <c r="D13" s="9">
        <f>TODAY()-90</f>
        <v/>
      </c>
      <c r="E13" s="10" t="n">
        <v>20000</v>
      </c>
      <c r="F13" s="11">
        <f>IF(OR($B13="",$E13=""),"",IFERROR(IF(AND(INDEX('Intervals'!$G$4:$G$33,MATCH($B13,'Intervals'!$A$4:$A$33,0))&lt;&gt;"No",N(INDEX('Intervals'!$C$4:$C$33,MATCH($B13,'Intervals'!$A$4:$A$33,0)))&gt;0),$E13+N(INDEX('Intervals'!$C$4:$C$33,MATCH($B13,'Intervals'!$A$4:$A$33,0))),""),""))</f>
        <v/>
      </c>
      <c r="G13" s="12">
        <f>IF(OR($B13="",$D13=""),"",IFERROR(IF(AND(INDEX('Intervals'!$G$4:$G$33,MATCH($B13,'Intervals'!$A$4:$A$33,0))&lt;&gt;"No",N(INDEX('Intervals'!$D$4:$D$33,MATCH($B13,'Intervals'!$A$4:$A$33,0)))&gt;0),EDATE($D13,N(INDEX('Intervals'!$D$4:$D$33,MATCH($B13,'Intervals'!$A$4:$A$33,0)))),""),""))</f>
        <v/>
      </c>
      <c r="H13" s="11">
        <f>IF($A13="","",IFERROR(IF(N(INDEX('Cars'!$H$4:$H$103,MATCH($A13,'Cars'!$A$4:$A$103,0)))&gt;0,INDEX('Cars'!$H$4:$H$103,MATCH($A13,'Cars'!$A$4:$A$103,0)),""),""))</f>
        <v/>
      </c>
      <c r="I13" s="11">
        <f>IF(OR($F13="",$H13=""),"",$F13-$H13)</f>
        <v/>
      </c>
      <c r="J13" s="13">
        <f>IF($G13="","",$G13-TODAY())</f>
        <v/>
      </c>
      <c r="K13" s="13">
        <f>IF($I13="","",IFERROR(IF(N(INDEX('Cars'!$J$4:$J$103,MATCH($A13,'Cars'!$A$4:$A$103,0)))&gt;0,ROUND($I13/INDEX('Cars'!$J$4:$J$103,MATCH($A13,'Cars'!$A$4:$A$103,0))*30,0),""),""))</f>
        <v/>
      </c>
      <c r="L13" s="13">
        <f>IF(AND($J13="",$K13=""),"",MIN(IF($J13="",99999,$J13),IF($K13="",99999,$K13)))</f>
        <v/>
      </c>
      <c r="M13" s="8">
        <f>IF(AND($I13="",$J13=""),"",IF(OR(AND($I13&lt;&gt;"",N($I13)&lt;0),AND($J13&lt;&gt;"",N($J13)&lt;0)),"Overdue",IF(OR(AND($I13&lt;&gt;"",N($I13)&lt;=IFERROR(INDEX('Intervals'!$E$4:$E$33,MATCH($B13,'Intervals'!$A$4:$A$33,0)),500)),AND($J13&lt;&gt;"",N($J13)&lt;=IFERROR(INDEX('Intervals'!$F$4:$F$33,MATCH($B13,'Intervals'!$A$4:$A$33,0)),14))),"Due soon","OK")))</f>
        <v/>
      </c>
      <c r="N13" s="7" t="n"/>
      <c r="O13" s="14">
        <f>IF(OR($M13="",$M13="OK"),"",$L13+ROW()/100000)</f>
        <v/>
      </c>
    </row>
    <row r="14">
      <c r="A14" s="7" t="inlineStr">
        <is>
          <t>C02</t>
        </is>
      </c>
      <c r="B14" s="7" t="inlineStr">
        <is>
          <t>M03</t>
        </is>
      </c>
      <c r="C14" s="8">
        <f>IF($B14="","",IFERROR(INDEX('Intervals'!$B$4:$B$33,MATCH($B14,'Intervals'!$A$4:$A$33,0)),""))</f>
        <v/>
      </c>
      <c r="D14" s="9">
        <f>TODAY()-90</f>
        <v/>
      </c>
      <c r="E14" s="10" t="n">
        <v>20000</v>
      </c>
      <c r="F14" s="11">
        <f>IF(OR($B14="",$E14=""),"",IFERROR(IF(AND(INDEX('Intervals'!$G$4:$G$33,MATCH($B14,'Intervals'!$A$4:$A$33,0))&lt;&gt;"No",N(INDEX('Intervals'!$C$4:$C$33,MATCH($B14,'Intervals'!$A$4:$A$33,0)))&gt;0),$E14+N(INDEX('Intervals'!$C$4:$C$33,MATCH($B14,'Intervals'!$A$4:$A$33,0))),""),""))</f>
        <v/>
      </c>
      <c r="G14" s="12">
        <f>IF(OR($B14="",$D14=""),"",IFERROR(IF(AND(INDEX('Intervals'!$G$4:$G$33,MATCH($B14,'Intervals'!$A$4:$A$33,0))&lt;&gt;"No",N(INDEX('Intervals'!$D$4:$D$33,MATCH($B14,'Intervals'!$A$4:$A$33,0)))&gt;0),EDATE($D14,N(INDEX('Intervals'!$D$4:$D$33,MATCH($B14,'Intervals'!$A$4:$A$33,0)))),""),""))</f>
        <v/>
      </c>
      <c r="H14" s="11">
        <f>IF($A14="","",IFERROR(IF(N(INDEX('Cars'!$H$4:$H$103,MATCH($A14,'Cars'!$A$4:$A$103,0)))&gt;0,INDEX('Cars'!$H$4:$H$103,MATCH($A14,'Cars'!$A$4:$A$103,0)),""),""))</f>
        <v/>
      </c>
      <c r="I14" s="11">
        <f>IF(OR($F14="",$H14=""),"",$F14-$H14)</f>
        <v/>
      </c>
      <c r="J14" s="13">
        <f>IF($G14="","",$G14-TODAY())</f>
        <v/>
      </c>
      <c r="K14" s="13">
        <f>IF($I14="","",IFERROR(IF(N(INDEX('Cars'!$J$4:$J$103,MATCH($A14,'Cars'!$A$4:$A$103,0)))&gt;0,ROUND($I14/INDEX('Cars'!$J$4:$J$103,MATCH($A14,'Cars'!$A$4:$A$103,0))*30,0),""),""))</f>
        <v/>
      </c>
      <c r="L14" s="13">
        <f>IF(AND($J14="",$K14=""),"",MIN(IF($J14="",99999,$J14),IF($K14="",99999,$K14)))</f>
        <v/>
      </c>
      <c r="M14" s="8">
        <f>IF(AND($I14="",$J14=""),"",IF(OR(AND($I14&lt;&gt;"",N($I14)&lt;0),AND($J14&lt;&gt;"",N($J14)&lt;0)),"Overdue",IF(OR(AND($I14&lt;&gt;"",N($I14)&lt;=IFERROR(INDEX('Intervals'!$E$4:$E$33,MATCH($B14,'Intervals'!$A$4:$A$33,0)),500)),AND($J14&lt;&gt;"",N($J14)&lt;=IFERROR(INDEX('Intervals'!$F$4:$F$33,MATCH($B14,'Intervals'!$A$4:$A$33,0)),14))),"Due soon","OK")))</f>
        <v/>
      </c>
      <c r="N14" s="7" t="n"/>
      <c r="O14" s="14">
        <f>IF(OR($M14="",$M14="OK"),"",$L14+ROW()/100000)</f>
        <v/>
      </c>
    </row>
    <row r="15">
      <c r="A15" s="7" t="inlineStr">
        <is>
          <t>C02</t>
        </is>
      </c>
      <c r="B15" s="7" t="inlineStr">
        <is>
          <t>M05</t>
        </is>
      </c>
      <c r="C15" s="8">
        <f>IF($B15="","",IFERROR(INDEX('Intervals'!$B$4:$B$33,MATCH($B15,'Intervals'!$A$4:$A$33,0)),""))</f>
        <v/>
      </c>
      <c r="D15" s="9">
        <f>TODAY()-30</f>
        <v/>
      </c>
      <c r="E15" s="10" t="n">
        <v>21900</v>
      </c>
      <c r="F15" s="11">
        <f>IF(OR($B15="",$E15=""),"",IFERROR(IF(AND(INDEX('Intervals'!$G$4:$G$33,MATCH($B15,'Intervals'!$A$4:$A$33,0))&lt;&gt;"No",N(INDEX('Intervals'!$C$4:$C$33,MATCH($B15,'Intervals'!$A$4:$A$33,0)))&gt;0),$E15+N(INDEX('Intervals'!$C$4:$C$33,MATCH($B15,'Intervals'!$A$4:$A$33,0))),""),""))</f>
        <v/>
      </c>
      <c r="G15" s="12">
        <f>IF(OR($B15="",$D15=""),"",IFERROR(IF(AND(INDEX('Intervals'!$G$4:$G$33,MATCH($B15,'Intervals'!$A$4:$A$33,0))&lt;&gt;"No",N(INDEX('Intervals'!$D$4:$D$33,MATCH($B15,'Intervals'!$A$4:$A$33,0)))&gt;0),EDATE($D15,N(INDEX('Intervals'!$D$4:$D$33,MATCH($B15,'Intervals'!$A$4:$A$33,0)))),""),""))</f>
        <v/>
      </c>
      <c r="H15" s="11">
        <f>IF($A15="","",IFERROR(IF(N(INDEX('Cars'!$H$4:$H$103,MATCH($A15,'Cars'!$A$4:$A$103,0)))&gt;0,INDEX('Cars'!$H$4:$H$103,MATCH($A15,'Cars'!$A$4:$A$103,0)),""),""))</f>
        <v/>
      </c>
      <c r="I15" s="11">
        <f>IF(OR($F15="",$H15=""),"",$F15-$H15)</f>
        <v/>
      </c>
      <c r="J15" s="13">
        <f>IF($G15="","",$G15-TODAY())</f>
        <v/>
      </c>
      <c r="K15" s="13">
        <f>IF($I15="","",IFERROR(IF(N(INDEX('Cars'!$J$4:$J$103,MATCH($A15,'Cars'!$A$4:$A$103,0)))&gt;0,ROUND($I15/INDEX('Cars'!$J$4:$J$103,MATCH($A15,'Cars'!$A$4:$A$103,0))*30,0),""),""))</f>
        <v/>
      </c>
      <c r="L15" s="13">
        <f>IF(AND($J15="",$K15=""),"",MIN(IF($J15="",99999,$J15),IF($K15="",99999,$K15)))</f>
        <v/>
      </c>
      <c r="M15" s="8">
        <f>IF(AND($I15="",$J15=""),"",IF(OR(AND($I15&lt;&gt;"",N($I15)&lt;0),AND($J15&lt;&gt;"",N($J15)&lt;0)),"Overdue",IF(OR(AND($I15&lt;&gt;"",N($I15)&lt;=IFERROR(INDEX('Intervals'!$E$4:$E$33,MATCH($B15,'Intervals'!$A$4:$A$33,0)),500)),AND($J15&lt;&gt;"",N($J15)&lt;=IFERROR(INDEX('Intervals'!$F$4:$F$33,MATCH($B15,'Intervals'!$A$4:$A$33,0)),14))),"Due soon","OK")))</f>
        <v/>
      </c>
      <c r="N15" s="7" t="n"/>
      <c r="O15" s="14">
        <f>IF(OR($M15="",$M15="OK"),"",$L15+ROW()/100000)</f>
        <v/>
      </c>
    </row>
    <row r="16">
      <c r="A16" s="7" t="inlineStr">
        <is>
          <t>C02</t>
        </is>
      </c>
      <c r="B16" s="7" t="inlineStr">
        <is>
          <t>M07</t>
        </is>
      </c>
      <c r="C16" s="8">
        <f>IF($B16="","",IFERROR(INDEX('Intervals'!$B$4:$B$33,MATCH($B16,'Intervals'!$A$4:$A$33,0)),""))</f>
        <v/>
      </c>
      <c r="D16" s="9">
        <f>TODAY()-100</f>
        <v/>
      </c>
      <c r="E16" s="10" t="n">
        <v>15000</v>
      </c>
      <c r="F16" s="11">
        <f>IF(OR($B16="",$E16=""),"",IFERROR(IF(AND(INDEX('Intervals'!$G$4:$G$33,MATCH($B16,'Intervals'!$A$4:$A$33,0))&lt;&gt;"No",N(INDEX('Intervals'!$C$4:$C$33,MATCH($B16,'Intervals'!$A$4:$A$33,0)))&gt;0),$E16+N(INDEX('Intervals'!$C$4:$C$33,MATCH($B16,'Intervals'!$A$4:$A$33,0))),""),""))</f>
        <v/>
      </c>
      <c r="G16" s="12">
        <f>IF(OR($B16="",$D16=""),"",IFERROR(IF(AND(INDEX('Intervals'!$G$4:$G$33,MATCH($B16,'Intervals'!$A$4:$A$33,0))&lt;&gt;"No",N(INDEX('Intervals'!$D$4:$D$33,MATCH($B16,'Intervals'!$A$4:$A$33,0)))&gt;0),EDATE($D16,N(INDEX('Intervals'!$D$4:$D$33,MATCH($B16,'Intervals'!$A$4:$A$33,0)))),""),""))</f>
        <v/>
      </c>
      <c r="H16" s="11">
        <f>IF($A16="","",IFERROR(IF(N(INDEX('Cars'!$H$4:$H$103,MATCH($A16,'Cars'!$A$4:$A$103,0)))&gt;0,INDEX('Cars'!$H$4:$H$103,MATCH($A16,'Cars'!$A$4:$A$103,0)),""),""))</f>
        <v/>
      </c>
      <c r="I16" s="11">
        <f>IF(OR($F16="",$H16=""),"",$F16-$H16)</f>
        <v/>
      </c>
      <c r="J16" s="13">
        <f>IF($G16="","",$G16-TODAY())</f>
        <v/>
      </c>
      <c r="K16" s="13">
        <f>IF($I16="","",IFERROR(IF(N(INDEX('Cars'!$J$4:$J$103,MATCH($A16,'Cars'!$A$4:$A$103,0)))&gt;0,ROUND($I16/INDEX('Cars'!$J$4:$J$103,MATCH($A16,'Cars'!$A$4:$A$103,0))*30,0),""),""))</f>
        <v/>
      </c>
      <c r="L16" s="13">
        <f>IF(AND($J16="",$K16=""),"",MIN(IF($J16="",99999,$J16),IF($K16="",99999,$K16)))</f>
        <v/>
      </c>
      <c r="M16" s="8">
        <f>IF(AND($I16="",$J16=""),"",IF(OR(AND($I16&lt;&gt;"",N($I16)&lt;0),AND($J16&lt;&gt;"",N($J16)&lt;0)),"Overdue",IF(OR(AND($I16&lt;&gt;"",N($I16)&lt;=IFERROR(INDEX('Intervals'!$E$4:$E$33,MATCH($B16,'Intervals'!$A$4:$A$33,0)),500)),AND($J16&lt;&gt;"",N($J16)&lt;=IFERROR(INDEX('Intervals'!$F$4:$F$33,MATCH($B16,'Intervals'!$A$4:$A$33,0)),14))),"Due soon","OK")))</f>
        <v/>
      </c>
      <c r="N16" s="7" t="n"/>
      <c r="O16" s="14">
        <f>IF(OR($M16="",$M16="OK"),"",$L16+ROW()/100000)</f>
        <v/>
      </c>
    </row>
    <row r="17">
      <c r="A17" s="7" t="inlineStr">
        <is>
          <t>C02</t>
        </is>
      </c>
      <c r="B17" s="7" t="inlineStr">
        <is>
          <t>M12</t>
        </is>
      </c>
      <c r="C17" s="8">
        <f>IF($B17="","",IFERROR(INDEX('Intervals'!$B$4:$B$33,MATCH($B17,'Intervals'!$A$4:$A$33,0)),""))</f>
        <v/>
      </c>
      <c r="D17" s="9">
        <f>TODAY()-300</f>
        <v/>
      </c>
      <c r="E17" s="10" t="n">
        <v>12000</v>
      </c>
      <c r="F17" s="11">
        <f>IF(OR($B17="",$E17=""),"",IFERROR(IF(AND(INDEX('Intervals'!$G$4:$G$33,MATCH($B17,'Intervals'!$A$4:$A$33,0))&lt;&gt;"No",N(INDEX('Intervals'!$C$4:$C$33,MATCH($B17,'Intervals'!$A$4:$A$33,0)))&gt;0),$E17+N(INDEX('Intervals'!$C$4:$C$33,MATCH($B17,'Intervals'!$A$4:$A$33,0))),""),""))</f>
        <v/>
      </c>
      <c r="G17" s="12">
        <f>IF(OR($B17="",$D17=""),"",IFERROR(IF(AND(INDEX('Intervals'!$G$4:$G$33,MATCH($B17,'Intervals'!$A$4:$A$33,0))&lt;&gt;"No",N(INDEX('Intervals'!$D$4:$D$33,MATCH($B17,'Intervals'!$A$4:$A$33,0)))&gt;0),EDATE($D17,N(INDEX('Intervals'!$D$4:$D$33,MATCH($B17,'Intervals'!$A$4:$A$33,0)))),""),""))</f>
        <v/>
      </c>
      <c r="H17" s="11">
        <f>IF($A17="","",IFERROR(IF(N(INDEX('Cars'!$H$4:$H$103,MATCH($A17,'Cars'!$A$4:$A$103,0)))&gt;0,INDEX('Cars'!$H$4:$H$103,MATCH($A17,'Cars'!$A$4:$A$103,0)),""),""))</f>
        <v/>
      </c>
      <c r="I17" s="11">
        <f>IF(OR($F17="",$H17=""),"",$F17-$H17)</f>
        <v/>
      </c>
      <c r="J17" s="13">
        <f>IF($G17="","",$G17-TODAY())</f>
        <v/>
      </c>
      <c r="K17" s="13">
        <f>IF($I17="","",IFERROR(IF(N(INDEX('Cars'!$J$4:$J$103,MATCH($A17,'Cars'!$A$4:$A$103,0)))&gt;0,ROUND($I17/INDEX('Cars'!$J$4:$J$103,MATCH($A17,'Cars'!$A$4:$A$103,0))*30,0),""),""))</f>
        <v/>
      </c>
      <c r="L17" s="13">
        <f>IF(AND($J17="",$K17=""),"",MIN(IF($J17="",99999,$J17),IF($K17="",99999,$K17)))</f>
        <v/>
      </c>
      <c r="M17" s="8">
        <f>IF(AND($I17="",$J17=""),"",IF(OR(AND($I17&lt;&gt;"",N($I17)&lt;0),AND($J17&lt;&gt;"",N($J17)&lt;0)),"Overdue",IF(OR(AND($I17&lt;&gt;"",N($I17)&lt;=IFERROR(INDEX('Intervals'!$E$4:$E$33,MATCH($B17,'Intervals'!$A$4:$A$33,0)),500)),AND($J17&lt;&gt;"",N($J17)&lt;=IFERROR(INDEX('Intervals'!$F$4:$F$33,MATCH($B17,'Intervals'!$A$4:$A$33,0)),14))),"Due soon","OK")))</f>
        <v/>
      </c>
      <c r="N17" s="7" t="n"/>
      <c r="O17" s="14">
        <f>IF(OR($M17="",$M17="OK"),"",$L17+ROW()/100000)</f>
        <v/>
      </c>
    </row>
    <row r="18">
      <c r="A18" s="7" t="inlineStr">
        <is>
          <t>C02</t>
        </is>
      </c>
      <c r="B18" s="7" t="inlineStr">
        <is>
          <t>M16</t>
        </is>
      </c>
      <c r="C18" s="8">
        <f>IF($B18="","",IFERROR(INDEX('Intervals'!$B$4:$B$33,MATCH($B18,'Intervals'!$A$4:$A$33,0)),""))</f>
        <v/>
      </c>
      <c r="D18" s="9">
        <f>TODAY()-360</f>
        <v/>
      </c>
      <c r="E18" s="10" t="n">
        <v>11000</v>
      </c>
      <c r="F18" s="11">
        <f>IF(OR($B18="",$E18=""),"",IFERROR(IF(AND(INDEX('Intervals'!$G$4:$G$33,MATCH($B18,'Intervals'!$A$4:$A$33,0))&lt;&gt;"No",N(INDEX('Intervals'!$C$4:$C$33,MATCH($B18,'Intervals'!$A$4:$A$33,0)))&gt;0),$E18+N(INDEX('Intervals'!$C$4:$C$33,MATCH($B18,'Intervals'!$A$4:$A$33,0))),""),""))</f>
        <v/>
      </c>
      <c r="G18" s="12">
        <f>IF(OR($B18="",$D18=""),"",IFERROR(IF(AND(INDEX('Intervals'!$G$4:$G$33,MATCH($B18,'Intervals'!$A$4:$A$33,0))&lt;&gt;"No",N(INDEX('Intervals'!$D$4:$D$33,MATCH($B18,'Intervals'!$A$4:$A$33,0)))&gt;0),EDATE($D18,N(INDEX('Intervals'!$D$4:$D$33,MATCH($B18,'Intervals'!$A$4:$A$33,0)))),""),""))</f>
        <v/>
      </c>
      <c r="H18" s="11">
        <f>IF($A18="","",IFERROR(IF(N(INDEX('Cars'!$H$4:$H$103,MATCH($A18,'Cars'!$A$4:$A$103,0)))&gt;0,INDEX('Cars'!$H$4:$H$103,MATCH($A18,'Cars'!$A$4:$A$103,0)),""),""))</f>
        <v/>
      </c>
      <c r="I18" s="11">
        <f>IF(OR($F18="",$H18=""),"",$F18-$H18)</f>
        <v/>
      </c>
      <c r="J18" s="13">
        <f>IF($G18="","",$G18-TODAY())</f>
        <v/>
      </c>
      <c r="K18" s="13">
        <f>IF($I18="","",IFERROR(IF(N(INDEX('Cars'!$J$4:$J$103,MATCH($A18,'Cars'!$A$4:$A$103,0)))&gt;0,ROUND($I18/INDEX('Cars'!$J$4:$J$103,MATCH($A18,'Cars'!$A$4:$A$103,0))*30,0),""),""))</f>
        <v/>
      </c>
      <c r="L18" s="13">
        <f>IF(AND($J18="",$K18=""),"",MIN(IF($J18="",99999,$J18),IF($K18="",99999,$K18)))</f>
        <v/>
      </c>
      <c r="M18" s="8">
        <f>IF(AND($I18="",$J18=""),"",IF(OR(AND($I18&lt;&gt;"",N($I18)&lt;0),AND($J18&lt;&gt;"",N($J18)&lt;0)),"Overdue",IF(OR(AND($I18&lt;&gt;"",N($I18)&lt;=IFERROR(INDEX('Intervals'!$E$4:$E$33,MATCH($B18,'Intervals'!$A$4:$A$33,0)),500)),AND($J18&lt;&gt;"",N($J18)&lt;=IFERROR(INDEX('Intervals'!$F$4:$F$33,MATCH($B18,'Intervals'!$A$4:$A$33,0)),14))),"Due soon","OK")))</f>
        <v/>
      </c>
      <c r="N18" s="7" t="n"/>
      <c r="O18" s="14">
        <f>IF(OR($M18="",$M18="OK"),"",$L18+ROW()/100000)</f>
        <v/>
      </c>
    </row>
    <row r="19">
      <c r="A19" s="7" t="inlineStr">
        <is>
          <t>C02</t>
        </is>
      </c>
      <c r="B19" s="7" t="inlineStr">
        <is>
          <t>M08</t>
        </is>
      </c>
      <c r="C19" s="8">
        <f>IF($B19="","",IFERROR(INDEX('Intervals'!$B$4:$B$33,MATCH($B19,'Intervals'!$A$4:$A$33,0)),""))</f>
        <v/>
      </c>
      <c r="D19" s="9">
        <f>TODAY()-600</f>
        <v/>
      </c>
      <c r="E19" s="10" t="n">
        <v>0</v>
      </c>
      <c r="F19" s="11">
        <f>IF(OR($B19="",$E19=""),"",IFERROR(IF(AND(INDEX('Intervals'!$G$4:$G$33,MATCH($B19,'Intervals'!$A$4:$A$33,0))&lt;&gt;"No",N(INDEX('Intervals'!$C$4:$C$33,MATCH($B19,'Intervals'!$A$4:$A$33,0)))&gt;0),$E19+N(INDEX('Intervals'!$C$4:$C$33,MATCH($B19,'Intervals'!$A$4:$A$33,0))),""),""))</f>
        <v/>
      </c>
      <c r="G19" s="12">
        <f>IF(OR($B19="",$D19=""),"",IFERROR(IF(AND(INDEX('Intervals'!$G$4:$G$33,MATCH($B19,'Intervals'!$A$4:$A$33,0))&lt;&gt;"No",N(INDEX('Intervals'!$D$4:$D$33,MATCH($B19,'Intervals'!$A$4:$A$33,0)))&gt;0),EDATE($D19,N(INDEX('Intervals'!$D$4:$D$33,MATCH($B19,'Intervals'!$A$4:$A$33,0)))),""),""))</f>
        <v/>
      </c>
      <c r="H19" s="11">
        <f>IF($A19="","",IFERROR(IF(N(INDEX('Cars'!$H$4:$H$103,MATCH($A19,'Cars'!$A$4:$A$103,0)))&gt;0,INDEX('Cars'!$H$4:$H$103,MATCH($A19,'Cars'!$A$4:$A$103,0)),""),""))</f>
        <v/>
      </c>
      <c r="I19" s="11">
        <f>IF(OR($F19="",$H19=""),"",$F19-$H19)</f>
        <v/>
      </c>
      <c r="J19" s="13">
        <f>IF($G19="","",$G19-TODAY())</f>
        <v/>
      </c>
      <c r="K19" s="13">
        <f>IF($I19="","",IFERROR(IF(N(INDEX('Cars'!$J$4:$J$103,MATCH($A19,'Cars'!$A$4:$A$103,0)))&gt;0,ROUND($I19/INDEX('Cars'!$J$4:$J$103,MATCH($A19,'Cars'!$A$4:$A$103,0))*30,0),""),""))</f>
        <v/>
      </c>
      <c r="L19" s="13">
        <f>IF(AND($J19="",$K19=""),"",MIN(IF($J19="",99999,$J19),IF($K19="",99999,$K19)))</f>
        <v/>
      </c>
      <c r="M19" s="8">
        <f>IF(AND($I19="",$J19=""),"",IF(OR(AND($I19&lt;&gt;"",N($I19)&lt;0),AND($J19&lt;&gt;"",N($J19)&lt;0)),"Overdue",IF(OR(AND($I19&lt;&gt;"",N($I19)&lt;=IFERROR(INDEX('Intervals'!$E$4:$E$33,MATCH($B19,'Intervals'!$A$4:$A$33,0)),500)),AND($J19&lt;&gt;"",N($J19)&lt;=IFERROR(INDEX('Intervals'!$F$4:$F$33,MATCH($B19,'Intervals'!$A$4:$A$33,0)),14))),"Due soon","OK")))</f>
        <v/>
      </c>
      <c r="N19" s="7" t="n"/>
      <c r="O19" s="14">
        <f>IF(OR($M19="",$M19="OK"),"",$L19+ROW()/100000)</f>
        <v/>
      </c>
    </row>
    <row r="20">
      <c r="A20" s="15" t="n"/>
      <c r="B20" s="15" t="n"/>
      <c r="C20" s="16">
        <f>IF($B20="","",IFERROR(INDEX('Intervals'!$B$4:$B$33,MATCH($B20,'Intervals'!$A$4:$A$33,0)),""))</f>
        <v/>
      </c>
      <c r="D20" s="17" t="n"/>
      <c r="E20" s="18" t="n"/>
      <c r="F20" s="19">
        <f>IF(OR($B20="",$E20=""),"",IFERROR(IF(AND(INDEX('Intervals'!$G$4:$G$33,MATCH($B20,'Intervals'!$A$4:$A$33,0))&lt;&gt;"No",N(INDEX('Intervals'!$C$4:$C$33,MATCH($B20,'Intervals'!$A$4:$A$33,0)))&gt;0),$E20+N(INDEX('Intervals'!$C$4:$C$33,MATCH($B20,'Intervals'!$A$4:$A$33,0))),""),""))</f>
        <v/>
      </c>
      <c r="G20" s="20">
        <f>IF(OR($B20="",$D20=""),"",IFERROR(IF(AND(INDEX('Intervals'!$G$4:$G$33,MATCH($B20,'Intervals'!$A$4:$A$33,0))&lt;&gt;"No",N(INDEX('Intervals'!$D$4:$D$33,MATCH($B20,'Intervals'!$A$4:$A$33,0)))&gt;0),EDATE($D20,N(INDEX('Intervals'!$D$4:$D$33,MATCH($B20,'Intervals'!$A$4:$A$33,0)))),""),""))</f>
        <v/>
      </c>
      <c r="H20" s="19">
        <f>IF($A20="","",IFERROR(IF(N(INDEX('Cars'!$H$4:$H$103,MATCH($A20,'Cars'!$A$4:$A$103,0)))&gt;0,INDEX('Cars'!$H$4:$H$103,MATCH($A20,'Cars'!$A$4:$A$103,0)),""),""))</f>
        <v/>
      </c>
      <c r="I20" s="19">
        <f>IF(OR($F20="",$H20=""),"",$F20-$H20)</f>
        <v/>
      </c>
      <c r="J20" s="21">
        <f>IF($G20="","",$G20-TODAY())</f>
        <v/>
      </c>
      <c r="K20" s="21">
        <f>IF($I20="","",IFERROR(IF(N(INDEX('Cars'!$J$4:$J$103,MATCH($A20,'Cars'!$A$4:$A$103,0)))&gt;0,ROUND($I20/INDEX('Cars'!$J$4:$J$103,MATCH($A20,'Cars'!$A$4:$A$103,0))*30,0),""),""))</f>
        <v/>
      </c>
      <c r="L20" s="21">
        <f>IF(AND($J20="",$K20=""),"",MIN(IF($J20="",99999,$J20),IF($K20="",99999,$K20)))</f>
        <v/>
      </c>
      <c r="M20" s="16">
        <f>IF(AND($I20="",$J20=""),"",IF(OR(AND($I20&lt;&gt;"",N($I20)&lt;0),AND($J20&lt;&gt;"",N($J20)&lt;0)),"Overdue",IF(OR(AND($I20&lt;&gt;"",N($I20)&lt;=IFERROR(INDEX('Intervals'!$E$4:$E$33,MATCH($B20,'Intervals'!$A$4:$A$33,0)),500)),AND($J20&lt;&gt;"",N($J20)&lt;=IFERROR(INDEX('Intervals'!$F$4:$F$33,MATCH($B20,'Intervals'!$A$4:$A$33,0)),14))),"Due soon","OK")))</f>
        <v/>
      </c>
      <c r="N20" s="15" t="n"/>
      <c r="O20" s="22">
        <f>IF(OR($M20="",$M20="OK"),"",$L20+ROW()/100000)</f>
        <v/>
      </c>
    </row>
    <row r="21">
      <c r="A21" s="15" t="n"/>
      <c r="B21" s="15" t="n"/>
      <c r="C21" s="16">
        <f>IF($B21="","",IFERROR(INDEX('Intervals'!$B$4:$B$33,MATCH($B21,'Intervals'!$A$4:$A$33,0)),""))</f>
        <v/>
      </c>
      <c r="D21" s="17" t="n"/>
      <c r="E21" s="18" t="n"/>
      <c r="F21" s="19">
        <f>IF(OR($B21="",$E21=""),"",IFERROR(IF(AND(INDEX('Intervals'!$G$4:$G$33,MATCH($B21,'Intervals'!$A$4:$A$33,0))&lt;&gt;"No",N(INDEX('Intervals'!$C$4:$C$33,MATCH($B21,'Intervals'!$A$4:$A$33,0)))&gt;0),$E21+N(INDEX('Intervals'!$C$4:$C$33,MATCH($B21,'Intervals'!$A$4:$A$33,0))),""),""))</f>
        <v/>
      </c>
      <c r="G21" s="20">
        <f>IF(OR($B21="",$D21=""),"",IFERROR(IF(AND(INDEX('Intervals'!$G$4:$G$33,MATCH($B21,'Intervals'!$A$4:$A$33,0))&lt;&gt;"No",N(INDEX('Intervals'!$D$4:$D$33,MATCH($B21,'Intervals'!$A$4:$A$33,0)))&gt;0),EDATE($D21,N(INDEX('Intervals'!$D$4:$D$33,MATCH($B21,'Intervals'!$A$4:$A$33,0)))),""),""))</f>
        <v/>
      </c>
      <c r="H21" s="19">
        <f>IF($A21="","",IFERROR(IF(N(INDEX('Cars'!$H$4:$H$103,MATCH($A21,'Cars'!$A$4:$A$103,0)))&gt;0,INDEX('Cars'!$H$4:$H$103,MATCH($A21,'Cars'!$A$4:$A$103,0)),""),""))</f>
        <v/>
      </c>
      <c r="I21" s="19">
        <f>IF(OR($F21="",$H21=""),"",$F21-$H21)</f>
        <v/>
      </c>
      <c r="J21" s="21">
        <f>IF($G21="","",$G21-TODAY())</f>
        <v/>
      </c>
      <c r="K21" s="21">
        <f>IF($I21="","",IFERROR(IF(N(INDEX('Cars'!$J$4:$J$103,MATCH($A21,'Cars'!$A$4:$A$103,0)))&gt;0,ROUND($I21/INDEX('Cars'!$J$4:$J$103,MATCH($A21,'Cars'!$A$4:$A$103,0))*30,0),""),""))</f>
        <v/>
      </c>
      <c r="L21" s="21">
        <f>IF(AND($J21="",$K21=""),"",MIN(IF($J21="",99999,$J21),IF($K21="",99999,$K21)))</f>
        <v/>
      </c>
      <c r="M21" s="16">
        <f>IF(AND($I21="",$J21=""),"",IF(OR(AND($I21&lt;&gt;"",N($I21)&lt;0),AND($J21&lt;&gt;"",N($J21)&lt;0)),"Overdue",IF(OR(AND($I21&lt;&gt;"",N($I21)&lt;=IFERROR(INDEX('Intervals'!$E$4:$E$33,MATCH($B21,'Intervals'!$A$4:$A$33,0)),500)),AND($J21&lt;&gt;"",N($J21)&lt;=IFERROR(INDEX('Intervals'!$F$4:$F$33,MATCH($B21,'Intervals'!$A$4:$A$33,0)),14))),"Due soon","OK")))</f>
        <v/>
      </c>
      <c r="N21" s="15" t="n"/>
      <c r="O21" s="22">
        <f>IF(OR($M21="",$M21="OK"),"",$L21+ROW()/100000)</f>
        <v/>
      </c>
    </row>
    <row r="22">
      <c r="A22" s="15" t="n"/>
      <c r="B22" s="15" t="n"/>
      <c r="C22" s="16">
        <f>IF($B22="","",IFERROR(INDEX('Intervals'!$B$4:$B$33,MATCH($B22,'Intervals'!$A$4:$A$33,0)),""))</f>
        <v/>
      </c>
      <c r="D22" s="17" t="n"/>
      <c r="E22" s="18" t="n"/>
      <c r="F22" s="19">
        <f>IF(OR($B22="",$E22=""),"",IFERROR(IF(AND(INDEX('Intervals'!$G$4:$G$33,MATCH($B22,'Intervals'!$A$4:$A$33,0))&lt;&gt;"No",N(INDEX('Intervals'!$C$4:$C$33,MATCH($B22,'Intervals'!$A$4:$A$33,0)))&gt;0),$E22+N(INDEX('Intervals'!$C$4:$C$33,MATCH($B22,'Intervals'!$A$4:$A$33,0))),""),""))</f>
        <v/>
      </c>
      <c r="G22" s="20">
        <f>IF(OR($B22="",$D22=""),"",IFERROR(IF(AND(INDEX('Intervals'!$G$4:$G$33,MATCH($B22,'Intervals'!$A$4:$A$33,0))&lt;&gt;"No",N(INDEX('Intervals'!$D$4:$D$33,MATCH($B22,'Intervals'!$A$4:$A$33,0)))&gt;0),EDATE($D22,N(INDEX('Intervals'!$D$4:$D$33,MATCH($B22,'Intervals'!$A$4:$A$33,0)))),""),""))</f>
        <v/>
      </c>
      <c r="H22" s="19">
        <f>IF($A22="","",IFERROR(IF(N(INDEX('Cars'!$H$4:$H$103,MATCH($A22,'Cars'!$A$4:$A$103,0)))&gt;0,INDEX('Cars'!$H$4:$H$103,MATCH($A22,'Cars'!$A$4:$A$103,0)),""),""))</f>
        <v/>
      </c>
      <c r="I22" s="19">
        <f>IF(OR($F22="",$H22=""),"",$F22-$H22)</f>
        <v/>
      </c>
      <c r="J22" s="21">
        <f>IF($G22="","",$G22-TODAY())</f>
        <v/>
      </c>
      <c r="K22" s="21">
        <f>IF($I22="","",IFERROR(IF(N(INDEX('Cars'!$J$4:$J$103,MATCH($A22,'Cars'!$A$4:$A$103,0)))&gt;0,ROUND($I22/INDEX('Cars'!$J$4:$J$103,MATCH($A22,'Cars'!$A$4:$A$103,0))*30,0),""),""))</f>
        <v/>
      </c>
      <c r="L22" s="21">
        <f>IF(AND($J22="",$K22=""),"",MIN(IF($J22="",99999,$J22),IF($K22="",99999,$K22)))</f>
        <v/>
      </c>
      <c r="M22" s="16">
        <f>IF(AND($I22="",$J22=""),"",IF(OR(AND($I22&lt;&gt;"",N($I22)&lt;0),AND($J22&lt;&gt;"",N($J22)&lt;0)),"Overdue",IF(OR(AND($I22&lt;&gt;"",N($I22)&lt;=IFERROR(INDEX('Intervals'!$E$4:$E$33,MATCH($B22,'Intervals'!$A$4:$A$33,0)),500)),AND($J22&lt;&gt;"",N($J22)&lt;=IFERROR(INDEX('Intervals'!$F$4:$F$33,MATCH($B22,'Intervals'!$A$4:$A$33,0)),14))),"Due soon","OK")))</f>
        <v/>
      </c>
      <c r="N22" s="15" t="n"/>
      <c r="O22" s="22">
        <f>IF(OR($M22="",$M22="OK"),"",$L22+ROW()/100000)</f>
        <v/>
      </c>
    </row>
    <row r="23">
      <c r="A23" s="15" t="n"/>
      <c r="B23" s="15" t="n"/>
      <c r="C23" s="16">
        <f>IF($B23="","",IFERROR(INDEX('Intervals'!$B$4:$B$33,MATCH($B23,'Intervals'!$A$4:$A$33,0)),""))</f>
        <v/>
      </c>
      <c r="D23" s="17" t="n"/>
      <c r="E23" s="18" t="n"/>
      <c r="F23" s="19">
        <f>IF(OR($B23="",$E23=""),"",IFERROR(IF(AND(INDEX('Intervals'!$G$4:$G$33,MATCH($B23,'Intervals'!$A$4:$A$33,0))&lt;&gt;"No",N(INDEX('Intervals'!$C$4:$C$33,MATCH($B23,'Intervals'!$A$4:$A$33,0)))&gt;0),$E23+N(INDEX('Intervals'!$C$4:$C$33,MATCH($B23,'Intervals'!$A$4:$A$33,0))),""),""))</f>
        <v/>
      </c>
      <c r="G23" s="20">
        <f>IF(OR($B23="",$D23=""),"",IFERROR(IF(AND(INDEX('Intervals'!$G$4:$G$33,MATCH($B23,'Intervals'!$A$4:$A$33,0))&lt;&gt;"No",N(INDEX('Intervals'!$D$4:$D$33,MATCH($B23,'Intervals'!$A$4:$A$33,0)))&gt;0),EDATE($D23,N(INDEX('Intervals'!$D$4:$D$33,MATCH($B23,'Intervals'!$A$4:$A$33,0)))),""),""))</f>
        <v/>
      </c>
      <c r="H23" s="19">
        <f>IF($A23="","",IFERROR(IF(N(INDEX('Cars'!$H$4:$H$103,MATCH($A23,'Cars'!$A$4:$A$103,0)))&gt;0,INDEX('Cars'!$H$4:$H$103,MATCH($A23,'Cars'!$A$4:$A$103,0)),""),""))</f>
        <v/>
      </c>
      <c r="I23" s="19">
        <f>IF(OR($F23="",$H23=""),"",$F23-$H23)</f>
        <v/>
      </c>
      <c r="J23" s="21">
        <f>IF($G23="","",$G23-TODAY())</f>
        <v/>
      </c>
      <c r="K23" s="21">
        <f>IF($I23="","",IFERROR(IF(N(INDEX('Cars'!$J$4:$J$103,MATCH($A23,'Cars'!$A$4:$A$103,0)))&gt;0,ROUND($I23/INDEX('Cars'!$J$4:$J$103,MATCH($A23,'Cars'!$A$4:$A$103,0))*30,0),""),""))</f>
        <v/>
      </c>
      <c r="L23" s="21">
        <f>IF(AND($J23="",$K23=""),"",MIN(IF($J23="",99999,$J23),IF($K23="",99999,$K23)))</f>
        <v/>
      </c>
      <c r="M23" s="16">
        <f>IF(AND($I23="",$J23=""),"",IF(OR(AND($I23&lt;&gt;"",N($I23)&lt;0),AND($J23&lt;&gt;"",N($J23)&lt;0)),"Overdue",IF(OR(AND($I23&lt;&gt;"",N($I23)&lt;=IFERROR(INDEX('Intervals'!$E$4:$E$33,MATCH($B23,'Intervals'!$A$4:$A$33,0)),500)),AND($J23&lt;&gt;"",N($J23)&lt;=IFERROR(INDEX('Intervals'!$F$4:$F$33,MATCH($B23,'Intervals'!$A$4:$A$33,0)),14))),"Due soon","OK")))</f>
        <v/>
      </c>
      <c r="N23" s="15" t="n"/>
      <c r="O23" s="22">
        <f>IF(OR($M23="",$M23="OK"),"",$L23+ROW()/100000)</f>
        <v/>
      </c>
    </row>
    <row r="24">
      <c r="A24" s="15" t="n"/>
      <c r="B24" s="15" t="n"/>
      <c r="C24" s="16">
        <f>IF($B24="","",IFERROR(INDEX('Intervals'!$B$4:$B$33,MATCH($B24,'Intervals'!$A$4:$A$33,0)),""))</f>
        <v/>
      </c>
      <c r="D24" s="17" t="n"/>
      <c r="E24" s="18" t="n"/>
      <c r="F24" s="19">
        <f>IF(OR($B24="",$E24=""),"",IFERROR(IF(AND(INDEX('Intervals'!$G$4:$G$33,MATCH($B24,'Intervals'!$A$4:$A$33,0))&lt;&gt;"No",N(INDEX('Intervals'!$C$4:$C$33,MATCH($B24,'Intervals'!$A$4:$A$33,0)))&gt;0),$E24+N(INDEX('Intervals'!$C$4:$C$33,MATCH($B24,'Intervals'!$A$4:$A$33,0))),""),""))</f>
        <v/>
      </c>
      <c r="G24" s="20">
        <f>IF(OR($B24="",$D24=""),"",IFERROR(IF(AND(INDEX('Intervals'!$G$4:$G$33,MATCH($B24,'Intervals'!$A$4:$A$33,0))&lt;&gt;"No",N(INDEX('Intervals'!$D$4:$D$33,MATCH($B24,'Intervals'!$A$4:$A$33,0)))&gt;0),EDATE($D24,N(INDEX('Intervals'!$D$4:$D$33,MATCH($B24,'Intervals'!$A$4:$A$33,0)))),""),""))</f>
        <v/>
      </c>
      <c r="H24" s="19">
        <f>IF($A24="","",IFERROR(IF(N(INDEX('Cars'!$H$4:$H$103,MATCH($A24,'Cars'!$A$4:$A$103,0)))&gt;0,INDEX('Cars'!$H$4:$H$103,MATCH($A24,'Cars'!$A$4:$A$103,0)),""),""))</f>
        <v/>
      </c>
      <c r="I24" s="19">
        <f>IF(OR($F24="",$H24=""),"",$F24-$H24)</f>
        <v/>
      </c>
      <c r="J24" s="21">
        <f>IF($G24="","",$G24-TODAY())</f>
        <v/>
      </c>
      <c r="K24" s="21">
        <f>IF($I24="","",IFERROR(IF(N(INDEX('Cars'!$J$4:$J$103,MATCH($A24,'Cars'!$A$4:$A$103,0)))&gt;0,ROUND($I24/INDEX('Cars'!$J$4:$J$103,MATCH($A24,'Cars'!$A$4:$A$103,0))*30,0),""),""))</f>
        <v/>
      </c>
      <c r="L24" s="21">
        <f>IF(AND($J24="",$K24=""),"",MIN(IF($J24="",99999,$J24),IF($K24="",99999,$K24)))</f>
        <v/>
      </c>
      <c r="M24" s="16">
        <f>IF(AND($I24="",$J24=""),"",IF(OR(AND($I24&lt;&gt;"",N($I24)&lt;0),AND($J24&lt;&gt;"",N($J24)&lt;0)),"Overdue",IF(OR(AND($I24&lt;&gt;"",N($I24)&lt;=IFERROR(INDEX('Intervals'!$E$4:$E$33,MATCH($B24,'Intervals'!$A$4:$A$33,0)),500)),AND($J24&lt;&gt;"",N($J24)&lt;=IFERROR(INDEX('Intervals'!$F$4:$F$33,MATCH($B24,'Intervals'!$A$4:$A$33,0)),14))),"Due soon","OK")))</f>
        <v/>
      </c>
      <c r="N24" s="15" t="n"/>
      <c r="O24" s="22">
        <f>IF(OR($M24="",$M24="OK"),"",$L24+ROW()/100000)</f>
        <v/>
      </c>
    </row>
    <row r="25">
      <c r="A25" s="15" t="n"/>
      <c r="B25" s="15" t="n"/>
      <c r="C25" s="16">
        <f>IF($B25="","",IFERROR(INDEX('Intervals'!$B$4:$B$33,MATCH($B25,'Intervals'!$A$4:$A$33,0)),""))</f>
        <v/>
      </c>
      <c r="D25" s="17" t="n"/>
      <c r="E25" s="18" t="n"/>
      <c r="F25" s="19">
        <f>IF(OR($B25="",$E25=""),"",IFERROR(IF(AND(INDEX('Intervals'!$G$4:$G$33,MATCH($B25,'Intervals'!$A$4:$A$33,0))&lt;&gt;"No",N(INDEX('Intervals'!$C$4:$C$33,MATCH($B25,'Intervals'!$A$4:$A$33,0)))&gt;0),$E25+N(INDEX('Intervals'!$C$4:$C$33,MATCH($B25,'Intervals'!$A$4:$A$33,0))),""),""))</f>
        <v/>
      </c>
      <c r="G25" s="20">
        <f>IF(OR($B25="",$D25=""),"",IFERROR(IF(AND(INDEX('Intervals'!$G$4:$G$33,MATCH($B25,'Intervals'!$A$4:$A$33,0))&lt;&gt;"No",N(INDEX('Intervals'!$D$4:$D$33,MATCH($B25,'Intervals'!$A$4:$A$33,0)))&gt;0),EDATE($D25,N(INDEX('Intervals'!$D$4:$D$33,MATCH($B25,'Intervals'!$A$4:$A$33,0)))),""),""))</f>
        <v/>
      </c>
      <c r="H25" s="19">
        <f>IF($A25="","",IFERROR(IF(N(INDEX('Cars'!$H$4:$H$103,MATCH($A25,'Cars'!$A$4:$A$103,0)))&gt;0,INDEX('Cars'!$H$4:$H$103,MATCH($A25,'Cars'!$A$4:$A$103,0)),""),""))</f>
        <v/>
      </c>
      <c r="I25" s="19">
        <f>IF(OR($F25="",$H25=""),"",$F25-$H25)</f>
        <v/>
      </c>
      <c r="J25" s="21">
        <f>IF($G25="","",$G25-TODAY())</f>
        <v/>
      </c>
      <c r="K25" s="21">
        <f>IF($I25="","",IFERROR(IF(N(INDEX('Cars'!$J$4:$J$103,MATCH($A25,'Cars'!$A$4:$A$103,0)))&gt;0,ROUND($I25/INDEX('Cars'!$J$4:$J$103,MATCH($A25,'Cars'!$A$4:$A$103,0))*30,0),""),""))</f>
        <v/>
      </c>
      <c r="L25" s="21">
        <f>IF(AND($J25="",$K25=""),"",MIN(IF($J25="",99999,$J25),IF($K25="",99999,$K25)))</f>
        <v/>
      </c>
      <c r="M25" s="16">
        <f>IF(AND($I25="",$J25=""),"",IF(OR(AND($I25&lt;&gt;"",N($I25)&lt;0),AND($J25&lt;&gt;"",N($J25)&lt;0)),"Overdue",IF(OR(AND($I25&lt;&gt;"",N($I25)&lt;=IFERROR(INDEX('Intervals'!$E$4:$E$33,MATCH($B25,'Intervals'!$A$4:$A$33,0)),500)),AND($J25&lt;&gt;"",N($J25)&lt;=IFERROR(INDEX('Intervals'!$F$4:$F$33,MATCH($B25,'Intervals'!$A$4:$A$33,0)),14))),"Due soon","OK")))</f>
        <v/>
      </c>
      <c r="N25" s="15" t="n"/>
      <c r="O25" s="22">
        <f>IF(OR($M25="",$M25="OK"),"",$L25+ROW()/100000)</f>
        <v/>
      </c>
    </row>
    <row r="26">
      <c r="A26" s="15" t="n"/>
      <c r="B26" s="15" t="n"/>
      <c r="C26" s="16">
        <f>IF($B26="","",IFERROR(INDEX('Intervals'!$B$4:$B$33,MATCH($B26,'Intervals'!$A$4:$A$33,0)),""))</f>
        <v/>
      </c>
      <c r="D26" s="17" t="n"/>
      <c r="E26" s="18" t="n"/>
      <c r="F26" s="19">
        <f>IF(OR($B26="",$E26=""),"",IFERROR(IF(AND(INDEX('Intervals'!$G$4:$G$33,MATCH($B26,'Intervals'!$A$4:$A$33,0))&lt;&gt;"No",N(INDEX('Intervals'!$C$4:$C$33,MATCH($B26,'Intervals'!$A$4:$A$33,0)))&gt;0),$E26+N(INDEX('Intervals'!$C$4:$C$33,MATCH($B26,'Intervals'!$A$4:$A$33,0))),""),""))</f>
        <v/>
      </c>
      <c r="G26" s="20">
        <f>IF(OR($B26="",$D26=""),"",IFERROR(IF(AND(INDEX('Intervals'!$G$4:$G$33,MATCH($B26,'Intervals'!$A$4:$A$33,0))&lt;&gt;"No",N(INDEX('Intervals'!$D$4:$D$33,MATCH($B26,'Intervals'!$A$4:$A$33,0)))&gt;0),EDATE($D26,N(INDEX('Intervals'!$D$4:$D$33,MATCH($B26,'Intervals'!$A$4:$A$33,0)))),""),""))</f>
        <v/>
      </c>
      <c r="H26" s="19">
        <f>IF($A26="","",IFERROR(IF(N(INDEX('Cars'!$H$4:$H$103,MATCH($A26,'Cars'!$A$4:$A$103,0)))&gt;0,INDEX('Cars'!$H$4:$H$103,MATCH($A26,'Cars'!$A$4:$A$103,0)),""),""))</f>
        <v/>
      </c>
      <c r="I26" s="19">
        <f>IF(OR($F26="",$H26=""),"",$F26-$H26)</f>
        <v/>
      </c>
      <c r="J26" s="21">
        <f>IF($G26="","",$G26-TODAY())</f>
        <v/>
      </c>
      <c r="K26" s="21">
        <f>IF($I26="","",IFERROR(IF(N(INDEX('Cars'!$J$4:$J$103,MATCH($A26,'Cars'!$A$4:$A$103,0)))&gt;0,ROUND($I26/INDEX('Cars'!$J$4:$J$103,MATCH($A26,'Cars'!$A$4:$A$103,0))*30,0),""),""))</f>
        <v/>
      </c>
      <c r="L26" s="21">
        <f>IF(AND($J26="",$K26=""),"",MIN(IF($J26="",99999,$J26),IF($K26="",99999,$K26)))</f>
        <v/>
      </c>
      <c r="M26" s="16">
        <f>IF(AND($I26="",$J26=""),"",IF(OR(AND($I26&lt;&gt;"",N($I26)&lt;0),AND($J26&lt;&gt;"",N($J26)&lt;0)),"Overdue",IF(OR(AND($I26&lt;&gt;"",N($I26)&lt;=IFERROR(INDEX('Intervals'!$E$4:$E$33,MATCH($B26,'Intervals'!$A$4:$A$33,0)),500)),AND($J26&lt;&gt;"",N($J26)&lt;=IFERROR(INDEX('Intervals'!$F$4:$F$33,MATCH($B26,'Intervals'!$A$4:$A$33,0)),14))),"Due soon","OK")))</f>
        <v/>
      </c>
      <c r="N26" s="15" t="n"/>
      <c r="O26" s="22">
        <f>IF(OR($M26="",$M26="OK"),"",$L26+ROW()/100000)</f>
        <v/>
      </c>
    </row>
    <row r="27">
      <c r="A27" s="15" t="n"/>
      <c r="B27" s="15" t="n"/>
      <c r="C27" s="16">
        <f>IF($B27="","",IFERROR(INDEX('Intervals'!$B$4:$B$33,MATCH($B27,'Intervals'!$A$4:$A$33,0)),""))</f>
        <v/>
      </c>
      <c r="D27" s="17" t="n"/>
      <c r="E27" s="18" t="n"/>
      <c r="F27" s="19">
        <f>IF(OR($B27="",$E27=""),"",IFERROR(IF(AND(INDEX('Intervals'!$G$4:$G$33,MATCH($B27,'Intervals'!$A$4:$A$33,0))&lt;&gt;"No",N(INDEX('Intervals'!$C$4:$C$33,MATCH($B27,'Intervals'!$A$4:$A$33,0)))&gt;0),$E27+N(INDEX('Intervals'!$C$4:$C$33,MATCH($B27,'Intervals'!$A$4:$A$33,0))),""),""))</f>
        <v/>
      </c>
      <c r="G27" s="20">
        <f>IF(OR($B27="",$D27=""),"",IFERROR(IF(AND(INDEX('Intervals'!$G$4:$G$33,MATCH($B27,'Intervals'!$A$4:$A$33,0))&lt;&gt;"No",N(INDEX('Intervals'!$D$4:$D$33,MATCH($B27,'Intervals'!$A$4:$A$33,0)))&gt;0),EDATE($D27,N(INDEX('Intervals'!$D$4:$D$33,MATCH($B27,'Intervals'!$A$4:$A$33,0)))),""),""))</f>
        <v/>
      </c>
      <c r="H27" s="19">
        <f>IF($A27="","",IFERROR(IF(N(INDEX('Cars'!$H$4:$H$103,MATCH($A27,'Cars'!$A$4:$A$103,0)))&gt;0,INDEX('Cars'!$H$4:$H$103,MATCH($A27,'Cars'!$A$4:$A$103,0)),""),""))</f>
        <v/>
      </c>
      <c r="I27" s="19">
        <f>IF(OR($F27="",$H27=""),"",$F27-$H27)</f>
        <v/>
      </c>
      <c r="J27" s="21">
        <f>IF($G27="","",$G27-TODAY())</f>
        <v/>
      </c>
      <c r="K27" s="21">
        <f>IF($I27="","",IFERROR(IF(N(INDEX('Cars'!$J$4:$J$103,MATCH($A27,'Cars'!$A$4:$A$103,0)))&gt;0,ROUND($I27/INDEX('Cars'!$J$4:$J$103,MATCH($A27,'Cars'!$A$4:$A$103,0))*30,0),""),""))</f>
        <v/>
      </c>
      <c r="L27" s="21">
        <f>IF(AND($J27="",$K27=""),"",MIN(IF($J27="",99999,$J27),IF($K27="",99999,$K27)))</f>
        <v/>
      </c>
      <c r="M27" s="16">
        <f>IF(AND($I27="",$J27=""),"",IF(OR(AND($I27&lt;&gt;"",N($I27)&lt;0),AND($J27&lt;&gt;"",N($J27)&lt;0)),"Overdue",IF(OR(AND($I27&lt;&gt;"",N($I27)&lt;=IFERROR(INDEX('Intervals'!$E$4:$E$33,MATCH($B27,'Intervals'!$A$4:$A$33,0)),500)),AND($J27&lt;&gt;"",N($J27)&lt;=IFERROR(INDEX('Intervals'!$F$4:$F$33,MATCH($B27,'Intervals'!$A$4:$A$33,0)),14))),"Due soon","OK")))</f>
        <v/>
      </c>
      <c r="N27" s="15" t="n"/>
      <c r="O27" s="22">
        <f>IF(OR($M27="",$M27="OK"),"",$L27+ROW()/100000)</f>
        <v/>
      </c>
    </row>
    <row r="28">
      <c r="A28" s="15" t="n"/>
      <c r="B28" s="15" t="n"/>
      <c r="C28" s="16">
        <f>IF($B28="","",IFERROR(INDEX('Intervals'!$B$4:$B$33,MATCH($B28,'Intervals'!$A$4:$A$33,0)),""))</f>
        <v/>
      </c>
      <c r="D28" s="17" t="n"/>
      <c r="E28" s="18" t="n"/>
      <c r="F28" s="19">
        <f>IF(OR($B28="",$E28=""),"",IFERROR(IF(AND(INDEX('Intervals'!$G$4:$G$33,MATCH($B28,'Intervals'!$A$4:$A$33,0))&lt;&gt;"No",N(INDEX('Intervals'!$C$4:$C$33,MATCH($B28,'Intervals'!$A$4:$A$33,0)))&gt;0),$E28+N(INDEX('Intervals'!$C$4:$C$33,MATCH($B28,'Intervals'!$A$4:$A$33,0))),""),""))</f>
        <v/>
      </c>
      <c r="G28" s="20">
        <f>IF(OR($B28="",$D28=""),"",IFERROR(IF(AND(INDEX('Intervals'!$G$4:$G$33,MATCH($B28,'Intervals'!$A$4:$A$33,0))&lt;&gt;"No",N(INDEX('Intervals'!$D$4:$D$33,MATCH($B28,'Intervals'!$A$4:$A$33,0)))&gt;0),EDATE($D28,N(INDEX('Intervals'!$D$4:$D$33,MATCH($B28,'Intervals'!$A$4:$A$33,0)))),""),""))</f>
        <v/>
      </c>
      <c r="H28" s="19">
        <f>IF($A28="","",IFERROR(IF(N(INDEX('Cars'!$H$4:$H$103,MATCH($A28,'Cars'!$A$4:$A$103,0)))&gt;0,INDEX('Cars'!$H$4:$H$103,MATCH($A28,'Cars'!$A$4:$A$103,0)),""),""))</f>
        <v/>
      </c>
      <c r="I28" s="19">
        <f>IF(OR($F28="",$H28=""),"",$F28-$H28)</f>
        <v/>
      </c>
      <c r="J28" s="21">
        <f>IF($G28="","",$G28-TODAY())</f>
        <v/>
      </c>
      <c r="K28" s="21">
        <f>IF($I28="","",IFERROR(IF(N(INDEX('Cars'!$J$4:$J$103,MATCH($A28,'Cars'!$A$4:$A$103,0)))&gt;0,ROUND($I28/INDEX('Cars'!$J$4:$J$103,MATCH($A28,'Cars'!$A$4:$A$103,0))*30,0),""),""))</f>
        <v/>
      </c>
      <c r="L28" s="21">
        <f>IF(AND($J28="",$K28=""),"",MIN(IF($J28="",99999,$J28),IF($K28="",99999,$K28)))</f>
        <v/>
      </c>
      <c r="M28" s="16">
        <f>IF(AND($I28="",$J28=""),"",IF(OR(AND($I28&lt;&gt;"",N($I28)&lt;0),AND($J28&lt;&gt;"",N($J28)&lt;0)),"Overdue",IF(OR(AND($I28&lt;&gt;"",N($I28)&lt;=IFERROR(INDEX('Intervals'!$E$4:$E$33,MATCH($B28,'Intervals'!$A$4:$A$33,0)),500)),AND($J28&lt;&gt;"",N($J28)&lt;=IFERROR(INDEX('Intervals'!$F$4:$F$33,MATCH($B28,'Intervals'!$A$4:$A$33,0)),14))),"Due soon","OK")))</f>
        <v/>
      </c>
      <c r="N28" s="15" t="n"/>
      <c r="O28" s="22">
        <f>IF(OR($M28="",$M28="OK"),"",$L28+ROW()/100000)</f>
        <v/>
      </c>
    </row>
    <row r="29">
      <c r="A29" s="15" t="n"/>
      <c r="B29" s="15" t="n"/>
      <c r="C29" s="16">
        <f>IF($B29="","",IFERROR(INDEX('Intervals'!$B$4:$B$33,MATCH($B29,'Intervals'!$A$4:$A$33,0)),""))</f>
        <v/>
      </c>
      <c r="D29" s="17" t="n"/>
      <c r="E29" s="18" t="n"/>
      <c r="F29" s="19">
        <f>IF(OR($B29="",$E29=""),"",IFERROR(IF(AND(INDEX('Intervals'!$G$4:$G$33,MATCH($B29,'Intervals'!$A$4:$A$33,0))&lt;&gt;"No",N(INDEX('Intervals'!$C$4:$C$33,MATCH($B29,'Intervals'!$A$4:$A$33,0)))&gt;0),$E29+N(INDEX('Intervals'!$C$4:$C$33,MATCH($B29,'Intervals'!$A$4:$A$33,0))),""),""))</f>
        <v/>
      </c>
      <c r="G29" s="20">
        <f>IF(OR($B29="",$D29=""),"",IFERROR(IF(AND(INDEX('Intervals'!$G$4:$G$33,MATCH($B29,'Intervals'!$A$4:$A$33,0))&lt;&gt;"No",N(INDEX('Intervals'!$D$4:$D$33,MATCH($B29,'Intervals'!$A$4:$A$33,0)))&gt;0),EDATE($D29,N(INDEX('Intervals'!$D$4:$D$33,MATCH($B29,'Intervals'!$A$4:$A$33,0)))),""),""))</f>
        <v/>
      </c>
      <c r="H29" s="19">
        <f>IF($A29="","",IFERROR(IF(N(INDEX('Cars'!$H$4:$H$103,MATCH($A29,'Cars'!$A$4:$A$103,0)))&gt;0,INDEX('Cars'!$H$4:$H$103,MATCH($A29,'Cars'!$A$4:$A$103,0)),""),""))</f>
        <v/>
      </c>
      <c r="I29" s="19">
        <f>IF(OR($F29="",$H29=""),"",$F29-$H29)</f>
        <v/>
      </c>
      <c r="J29" s="21">
        <f>IF($G29="","",$G29-TODAY())</f>
        <v/>
      </c>
      <c r="K29" s="21">
        <f>IF($I29="","",IFERROR(IF(N(INDEX('Cars'!$J$4:$J$103,MATCH($A29,'Cars'!$A$4:$A$103,0)))&gt;0,ROUND($I29/INDEX('Cars'!$J$4:$J$103,MATCH($A29,'Cars'!$A$4:$A$103,0))*30,0),""),""))</f>
        <v/>
      </c>
      <c r="L29" s="21">
        <f>IF(AND($J29="",$K29=""),"",MIN(IF($J29="",99999,$J29),IF($K29="",99999,$K29)))</f>
        <v/>
      </c>
      <c r="M29" s="16">
        <f>IF(AND($I29="",$J29=""),"",IF(OR(AND($I29&lt;&gt;"",N($I29)&lt;0),AND($J29&lt;&gt;"",N($J29)&lt;0)),"Overdue",IF(OR(AND($I29&lt;&gt;"",N($I29)&lt;=IFERROR(INDEX('Intervals'!$E$4:$E$33,MATCH($B29,'Intervals'!$A$4:$A$33,0)),500)),AND($J29&lt;&gt;"",N($J29)&lt;=IFERROR(INDEX('Intervals'!$F$4:$F$33,MATCH($B29,'Intervals'!$A$4:$A$33,0)),14))),"Due soon","OK")))</f>
        <v/>
      </c>
      <c r="N29" s="15" t="n"/>
      <c r="O29" s="22">
        <f>IF(OR($M29="",$M29="OK"),"",$L29+ROW()/100000)</f>
        <v/>
      </c>
    </row>
    <row r="30">
      <c r="A30" s="15" t="n"/>
      <c r="B30" s="15" t="n"/>
      <c r="C30" s="16">
        <f>IF($B30="","",IFERROR(INDEX('Intervals'!$B$4:$B$33,MATCH($B30,'Intervals'!$A$4:$A$33,0)),""))</f>
        <v/>
      </c>
      <c r="D30" s="17" t="n"/>
      <c r="E30" s="18" t="n"/>
      <c r="F30" s="19">
        <f>IF(OR($B30="",$E30=""),"",IFERROR(IF(AND(INDEX('Intervals'!$G$4:$G$33,MATCH($B30,'Intervals'!$A$4:$A$33,0))&lt;&gt;"No",N(INDEX('Intervals'!$C$4:$C$33,MATCH($B30,'Intervals'!$A$4:$A$33,0)))&gt;0),$E30+N(INDEX('Intervals'!$C$4:$C$33,MATCH($B30,'Intervals'!$A$4:$A$33,0))),""),""))</f>
        <v/>
      </c>
      <c r="G30" s="20">
        <f>IF(OR($B30="",$D30=""),"",IFERROR(IF(AND(INDEX('Intervals'!$G$4:$G$33,MATCH($B30,'Intervals'!$A$4:$A$33,0))&lt;&gt;"No",N(INDEX('Intervals'!$D$4:$D$33,MATCH($B30,'Intervals'!$A$4:$A$33,0)))&gt;0),EDATE($D30,N(INDEX('Intervals'!$D$4:$D$33,MATCH($B30,'Intervals'!$A$4:$A$33,0)))),""),""))</f>
        <v/>
      </c>
      <c r="H30" s="19">
        <f>IF($A30="","",IFERROR(IF(N(INDEX('Cars'!$H$4:$H$103,MATCH($A30,'Cars'!$A$4:$A$103,0)))&gt;0,INDEX('Cars'!$H$4:$H$103,MATCH($A30,'Cars'!$A$4:$A$103,0)),""),""))</f>
        <v/>
      </c>
      <c r="I30" s="19">
        <f>IF(OR($F30="",$H30=""),"",$F30-$H30)</f>
        <v/>
      </c>
      <c r="J30" s="21">
        <f>IF($G30="","",$G30-TODAY())</f>
        <v/>
      </c>
      <c r="K30" s="21">
        <f>IF($I30="","",IFERROR(IF(N(INDEX('Cars'!$J$4:$J$103,MATCH($A30,'Cars'!$A$4:$A$103,0)))&gt;0,ROUND($I30/INDEX('Cars'!$J$4:$J$103,MATCH($A30,'Cars'!$A$4:$A$103,0))*30,0),""),""))</f>
        <v/>
      </c>
      <c r="L30" s="21">
        <f>IF(AND($J30="",$K30=""),"",MIN(IF($J30="",99999,$J30),IF($K30="",99999,$K30)))</f>
        <v/>
      </c>
      <c r="M30" s="16">
        <f>IF(AND($I30="",$J30=""),"",IF(OR(AND($I30&lt;&gt;"",N($I30)&lt;0),AND($J30&lt;&gt;"",N($J30)&lt;0)),"Overdue",IF(OR(AND($I30&lt;&gt;"",N($I30)&lt;=IFERROR(INDEX('Intervals'!$E$4:$E$33,MATCH($B30,'Intervals'!$A$4:$A$33,0)),500)),AND($J30&lt;&gt;"",N($J30)&lt;=IFERROR(INDEX('Intervals'!$F$4:$F$33,MATCH($B30,'Intervals'!$A$4:$A$33,0)),14))),"Due soon","OK")))</f>
        <v/>
      </c>
      <c r="N30" s="15" t="n"/>
      <c r="O30" s="22">
        <f>IF(OR($M30="",$M30="OK"),"",$L30+ROW()/100000)</f>
        <v/>
      </c>
    </row>
    <row r="31">
      <c r="A31" s="15" t="n"/>
      <c r="B31" s="15" t="n"/>
      <c r="C31" s="16">
        <f>IF($B31="","",IFERROR(INDEX('Intervals'!$B$4:$B$33,MATCH($B31,'Intervals'!$A$4:$A$33,0)),""))</f>
        <v/>
      </c>
      <c r="D31" s="17" t="n"/>
      <c r="E31" s="18" t="n"/>
      <c r="F31" s="19">
        <f>IF(OR($B31="",$E31=""),"",IFERROR(IF(AND(INDEX('Intervals'!$G$4:$G$33,MATCH($B31,'Intervals'!$A$4:$A$33,0))&lt;&gt;"No",N(INDEX('Intervals'!$C$4:$C$33,MATCH($B31,'Intervals'!$A$4:$A$33,0)))&gt;0),$E31+N(INDEX('Intervals'!$C$4:$C$33,MATCH($B31,'Intervals'!$A$4:$A$33,0))),""),""))</f>
        <v/>
      </c>
      <c r="G31" s="20">
        <f>IF(OR($B31="",$D31=""),"",IFERROR(IF(AND(INDEX('Intervals'!$G$4:$G$33,MATCH($B31,'Intervals'!$A$4:$A$33,0))&lt;&gt;"No",N(INDEX('Intervals'!$D$4:$D$33,MATCH($B31,'Intervals'!$A$4:$A$33,0)))&gt;0),EDATE($D31,N(INDEX('Intervals'!$D$4:$D$33,MATCH($B31,'Intervals'!$A$4:$A$33,0)))),""),""))</f>
        <v/>
      </c>
      <c r="H31" s="19">
        <f>IF($A31="","",IFERROR(IF(N(INDEX('Cars'!$H$4:$H$103,MATCH($A31,'Cars'!$A$4:$A$103,0)))&gt;0,INDEX('Cars'!$H$4:$H$103,MATCH($A31,'Cars'!$A$4:$A$103,0)),""),""))</f>
        <v/>
      </c>
      <c r="I31" s="19">
        <f>IF(OR($F31="",$H31=""),"",$F31-$H31)</f>
        <v/>
      </c>
      <c r="J31" s="21">
        <f>IF($G31="","",$G31-TODAY())</f>
        <v/>
      </c>
      <c r="K31" s="21">
        <f>IF($I31="","",IFERROR(IF(N(INDEX('Cars'!$J$4:$J$103,MATCH($A31,'Cars'!$A$4:$A$103,0)))&gt;0,ROUND($I31/INDEX('Cars'!$J$4:$J$103,MATCH($A31,'Cars'!$A$4:$A$103,0))*30,0),""),""))</f>
        <v/>
      </c>
      <c r="L31" s="21">
        <f>IF(AND($J31="",$K31=""),"",MIN(IF($J31="",99999,$J31),IF($K31="",99999,$K31)))</f>
        <v/>
      </c>
      <c r="M31" s="16">
        <f>IF(AND($I31="",$J31=""),"",IF(OR(AND($I31&lt;&gt;"",N($I31)&lt;0),AND($J31&lt;&gt;"",N($J31)&lt;0)),"Overdue",IF(OR(AND($I31&lt;&gt;"",N($I31)&lt;=IFERROR(INDEX('Intervals'!$E$4:$E$33,MATCH($B31,'Intervals'!$A$4:$A$33,0)),500)),AND($J31&lt;&gt;"",N($J31)&lt;=IFERROR(INDEX('Intervals'!$F$4:$F$33,MATCH($B31,'Intervals'!$A$4:$A$33,0)),14))),"Due soon","OK")))</f>
        <v/>
      </c>
      <c r="N31" s="15" t="n"/>
      <c r="O31" s="22">
        <f>IF(OR($M31="",$M31="OK"),"",$L31+ROW()/100000)</f>
        <v/>
      </c>
    </row>
    <row r="32">
      <c r="A32" s="15" t="n"/>
      <c r="B32" s="15" t="n"/>
      <c r="C32" s="16">
        <f>IF($B32="","",IFERROR(INDEX('Intervals'!$B$4:$B$33,MATCH($B32,'Intervals'!$A$4:$A$33,0)),""))</f>
        <v/>
      </c>
      <c r="D32" s="17" t="n"/>
      <c r="E32" s="18" t="n"/>
      <c r="F32" s="19">
        <f>IF(OR($B32="",$E32=""),"",IFERROR(IF(AND(INDEX('Intervals'!$G$4:$G$33,MATCH($B32,'Intervals'!$A$4:$A$33,0))&lt;&gt;"No",N(INDEX('Intervals'!$C$4:$C$33,MATCH($B32,'Intervals'!$A$4:$A$33,0)))&gt;0),$E32+N(INDEX('Intervals'!$C$4:$C$33,MATCH($B32,'Intervals'!$A$4:$A$33,0))),""),""))</f>
        <v/>
      </c>
      <c r="G32" s="20">
        <f>IF(OR($B32="",$D32=""),"",IFERROR(IF(AND(INDEX('Intervals'!$G$4:$G$33,MATCH($B32,'Intervals'!$A$4:$A$33,0))&lt;&gt;"No",N(INDEX('Intervals'!$D$4:$D$33,MATCH($B32,'Intervals'!$A$4:$A$33,0)))&gt;0),EDATE($D32,N(INDEX('Intervals'!$D$4:$D$33,MATCH($B32,'Intervals'!$A$4:$A$33,0)))),""),""))</f>
        <v/>
      </c>
      <c r="H32" s="19">
        <f>IF($A32="","",IFERROR(IF(N(INDEX('Cars'!$H$4:$H$103,MATCH($A32,'Cars'!$A$4:$A$103,0)))&gt;0,INDEX('Cars'!$H$4:$H$103,MATCH($A32,'Cars'!$A$4:$A$103,0)),""),""))</f>
        <v/>
      </c>
      <c r="I32" s="19">
        <f>IF(OR($F32="",$H32=""),"",$F32-$H32)</f>
        <v/>
      </c>
      <c r="J32" s="21">
        <f>IF($G32="","",$G32-TODAY())</f>
        <v/>
      </c>
      <c r="K32" s="21">
        <f>IF($I32="","",IFERROR(IF(N(INDEX('Cars'!$J$4:$J$103,MATCH($A32,'Cars'!$A$4:$A$103,0)))&gt;0,ROUND($I32/INDEX('Cars'!$J$4:$J$103,MATCH($A32,'Cars'!$A$4:$A$103,0))*30,0),""),""))</f>
        <v/>
      </c>
      <c r="L32" s="21">
        <f>IF(AND($J32="",$K32=""),"",MIN(IF($J32="",99999,$J32),IF($K32="",99999,$K32)))</f>
        <v/>
      </c>
      <c r="M32" s="16">
        <f>IF(AND($I32="",$J32=""),"",IF(OR(AND($I32&lt;&gt;"",N($I32)&lt;0),AND($J32&lt;&gt;"",N($J32)&lt;0)),"Overdue",IF(OR(AND($I32&lt;&gt;"",N($I32)&lt;=IFERROR(INDEX('Intervals'!$E$4:$E$33,MATCH($B32,'Intervals'!$A$4:$A$33,0)),500)),AND($J32&lt;&gt;"",N($J32)&lt;=IFERROR(INDEX('Intervals'!$F$4:$F$33,MATCH($B32,'Intervals'!$A$4:$A$33,0)),14))),"Due soon","OK")))</f>
        <v/>
      </c>
      <c r="N32" s="15" t="n"/>
      <c r="O32" s="22">
        <f>IF(OR($M32="",$M32="OK"),"",$L32+ROW()/100000)</f>
        <v/>
      </c>
    </row>
    <row r="33">
      <c r="A33" s="15" t="n"/>
      <c r="B33" s="15" t="n"/>
      <c r="C33" s="16">
        <f>IF($B33="","",IFERROR(INDEX('Intervals'!$B$4:$B$33,MATCH($B33,'Intervals'!$A$4:$A$33,0)),""))</f>
        <v/>
      </c>
      <c r="D33" s="17" t="n"/>
      <c r="E33" s="18" t="n"/>
      <c r="F33" s="19">
        <f>IF(OR($B33="",$E33=""),"",IFERROR(IF(AND(INDEX('Intervals'!$G$4:$G$33,MATCH($B33,'Intervals'!$A$4:$A$33,0))&lt;&gt;"No",N(INDEX('Intervals'!$C$4:$C$33,MATCH($B33,'Intervals'!$A$4:$A$33,0)))&gt;0),$E33+N(INDEX('Intervals'!$C$4:$C$33,MATCH($B33,'Intervals'!$A$4:$A$33,0))),""),""))</f>
        <v/>
      </c>
      <c r="G33" s="20">
        <f>IF(OR($B33="",$D33=""),"",IFERROR(IF(AND(INDEX('Intervals'!$G$4:$G$33,MATCH($B33,'Intervals'!$A$4:$A$33,0))&lt;&gt;"No",N(INDEX('Intervals'!$D$4:$D$33,MATCH($B33,'Intervals'!$A$4:$A$33,0)))&gt;0),EDATE($D33,N(INDEX('Intervals'!$D$4:$D$33,MATCH($B33,'Intervals'!$A$4:$A$33,0)))),""),""))</f>
        <v/>
      </c>
      <c r="H33" s="19">
        <f>IF($A33="","",IFERROR(IF(N(INDEX('Cars'!$H$4:$H$103,MATCH($A33,'Cars'!$A$4:$A$103,0)))&gt;0,INDEX('Cars'!$H$4:$H$103,MATCH($A33,'Cars'!$A$4:$A$103,0)),""),""))</f>
        <v/>
      </c>
      <c r="I33" s="19">
        <f>IF(OR($F33="",$H33=""),"",$F33-$H33)</f>
        <v/>
      </c>
      <c r="J33" s="21">
        <f>IF($G33="","",$G33-TODAY())</f>
        <v/>
      </c>
      <c r="K33" s="21">
        <f>IF($I33="","",IFERROR(IF(N(INDEX('Cars'!$J$4:$J$103,MATCH($A33,'Cars'!$A$4:$A$103,0)))&gt;0,ROUND($I33/INDEX('Cars'!$J$4:$J$103,MATCH($A33,'Cars'!$A$4:$A$103,0))*30,0),""),""))</f>
        <v/>
      </c>
      <c r="L33" s="21">
        <f>IF(AND($J33="",$K33=""),"",MIN(IF($J33="",99999,$J33),IF($K33="",99999,$K33)))</f>
        <v/>
      </c>
      <c r="M33" s="16">
        <f>IF(AND($I33="",$J33=""),"",IF(OR(AND($I33&lt;&gt;"",N($I33)&lt;0),AND($J33&lt;&gt;"",N($J33)&lt;0)),"Overdue",IF(OR(AND($I33&lt;&gt;"",N($I33)&lt;=IFERROR(INDEX('Intervals'!$E$4:$E$33,MATCH($B33,'Intervals'!$A$4:$A$33,0)),500)),AND($J33&lt;&gt;"",N($J33)&lt;=IFERROR(INDEX('Intervals'!$F$4:$F$33,MATCH($B33,'Intervals'!$A$4:$A$33,0)),14))),"Due soon","OK")))</f>
        <v/>
      </c>
      <c r="N33" s="15" t="n"/>
      <c r="O33" s="22">
        <f>IF(OR($M33="",$M33="OK"),"",$L33+ROW()/100000)</f>
        <v/>
      </c>
    </row>
    <row r="34">
      <c r="A34" s="15" t="n"/>
      <c r="B34" s="15" t="n"/>
      <c r="C34" s="16">
        <f>IF($B34="","",IFERROR(INDEX('Intervals'!$B$4:$B$33,MATCH($B34,'Intervals'!$A$4:$A$33,0)),""))</f>
        <v/>
      </c>
      <c r="D34" s="17" t="n"/>
      <c r="E34" s="18" t="n"/>
      <c r="F34" s="19">
        <f>IF(OR($B34="",$E34=""),"",IFERROR(IF(AND(INDEX('Intervals'!$G$4:$G$33,MATCH($B34,'Intervals'!$A$4:$A$33,0))&lt;&gt;"No",N(INDEX('Intervals'!$C$4:$C$33,MATCH($B34,'Intervals'!$A$4:$A$33,0)))&gt;0),$E34+N(INDEX('Intervals'!$C$4:$C$33,MATCH($B34,'Intervals'!$A$4:$A$33,0))),""),""))</f>
        <v/>
      </c>
      <c r="G34" s="20">
        <f>IF(OR($B34="",$D34=""),"",IFERROR(IF(AND(INDEX('Intervals'!$G$4:$G$33,MATCH($B34,'Intervals'!$A$4:$A$33,0))&lt;&gt;"No",N(INDEX('Intervals'!$D$4:$D$33,MATCH($B34,'Intervals'!$A$4:$A$33,0)))&gt;0),EDATE($D34,N(INDEX('Intervals'!$D$4:$D$33,MATCH($B34,'Intervals'!$A$4:$A$33,0)))),""),""))</f>
        <v/>
      </c>
      <c r="H34" s="19">
        <f>IF($A34="","",IFERROR(IF(N(INDEX('Cars'!$H$4:$H$103,MATCH($A34,'Cars'!$A$4:$A$103,0)))&gt;0,INDEX('Cars'!$H$4:$H$103,MATCH($A34,'Cars'!$A$4:$A$103,0)),""),""))</f>
        <v/>
      </c>
      <c r="I34" s="19">
        <f>IF(OR($F34="",$H34=""),"",$F34-$H34)</f>
        <v/>
      </c>
      <c r="J34" s="21">
        <f>IF($G34="","",$G34-TODAY())</f>
        <v/>
      </c>
      <c r="K34" s="21">
        <f>IF($I34="","",IFERROR(IF(N(INDEX('Cars'!$J$4:$J$103,MATCH($A34,'Cars'!$A$4:$A$103,0)))&gt;0,ROUND($I34/INDEX('Cars'!$J$4:$J$103,MATCH($A34,'Cars'!$A$4:$A$103,0))*30,0),""),""))</f>
        <v/>
      </c>
      <c r="L34" s="21">
        <f>IF(AND($J34="",$K34=""),"",MIN(IF($J34="",99999,$J34),IF($K34="",99999,$K34)))</f>
        <v/>
      </c>
      <c r="M34" s="16">
        <f>IF(AND($I34="",$J34=""),"",IF(OR(AND($I34&lt;&gt;"",N($I34)&lt;0),AND($J34&lt;&gt;"",N($J34)&lt;0)),"Overdue",IF(OR(AND($I34&lt;&gt;"",N($I34)&lt;=IFERROR(INDEX('Intervals'!$E$4:$E$33,MATCH($B34,'Intervals'!$A$4:$A$33,0)),500)),AND($J34&lt;&gt;"",N($J34)&lt;=IFERROR(INDEX('Intervals'!$F$4:$F$33,MATCH($B34,'Intervals'!$A$4:$A$33,0)),14))),"Due soon","OK")))</f>
        <v/>
      </c>
      <c r="N34" s="15" t="n"/>
      <c r="O34" s="22">
        <f>IF(OR($M34="",$M34="OK"),"",$L34+ROW()/100000)</f>
        <v/>
      </c>
    </row>
    <row r="35">
      <c r="A35" s="15" t="n"/>
      <c r="B35" s="15" t="n"/>
      <c r="C35" s="16">
        <f>IF($B35="","",IFERROR(INDEX('Intervals'!$B$4:$B$33,MATCH($B35,'Intervals'!$A$4:$A$33,0)),""))</f>
        <v/>
      </c>
      <c r="D35" s="17" t="n"/>
      <c r="E35" s="18" t="n"/>
      <c r="F35" s="19">
        <f>IF(OR($B35="",$E35=""),"",IFERROR(IF(AND(INDEX('Intervals'!$G$4:$G$33,MATCH($B35,'Intervals'!$A$4:$A$33,0))&lt;&gt;"No",N(INDEX('Intervals'!$C$4:$C$33,MATCH($B35,'Intervals'!$A$4:$A$33,0)))&gt;0),$E35+N(INDEX('Intervals'!$C$4:$C$33,MATCH($B35,'Intervals'!$A$4:$A$33,0))),""),""))</f>
        <v/>
      </c>
      <c r="G35" s="20">
        <f>IF(OR($B35="",$D35=""),"",IFERROR(IF(AND(INDEX('Intervals'!$G$4:$G$33,MATCH($B35,'Intervals'!$A$4:$A$33,0))&lt;&gt;"No",N(INDEX('Intervals'!$D$4:$D$33,MATCH($B35,'Intervals'!$A$4:$A$33,0)))&gt;0),EDATE($D35,N(INDEX('Intervals'!$D$4:$D$33,MATCH($B35,'Intervals'!$A$4:$A$33,0)))),""),""))</f>
        <v/>
      </c>
      <c r="H35" s="19">
        <f>IF($A35="","",IFERROR(IF(N(INDEX('Cars'!$H$4:$H$103,MATCH($A35,'Cars'!$A$4:$A$103,0)))&gt;0,INDEX('Cars'!$H$4:$H$103,MATCH($A35,'Cars'!$A$4:$A$103,0)),""),""))</f>
        <v/>
      </c>
      <c r="I35" s="19">
        <f>IF(OR($F35="",$H35=""),"",$F35-$H35)</f>
        <v/>
      </c>
      <c r="J35" s="21">
        <f>IF($G35="","",$G35-TODAY())</f>
        <v/>
      </c>
      <c r="K35" s="21">
        <f>IF($I35="","",IFERROR(IF(N(INDEX('Cars'!$J$4:$J$103,MATCH($A35,'Cars'!$A$4:$A$103,0)))&gt;0,ROUND($I35/INDEX('Cars'!$J$4:$J$103,MATCH($A35,'Cars'!$A$4:$A$103,0))*30,0),""),""))</f>
        <v/>
      </c>
      <c r="L35" s="21">
        <f>IF(AND($J35="",$K35=""),"",MIN(IF($J35="",99999,$J35),IF($K35="",99999,$K35)))</f>
        <v/>
      </c>
      <c r="M35" s="16">
        <f>IF(AND($I35="",$J35=""),"",IF(OR(AND($I35&lt;&gt;"",N($I35)&lt;0),AND($J35&lt;&gt;"",N($J35)&lt;0)),"Overdue",IF(OR(AND($I35&lt;&gt;"",N($I35)&lt;=IFERROR(INDEX('Intervals'!$E$4:$E$33,MATCH($B35,'Intervals'!$A$4:$A$33,0)),500)),AND($J35&lt;&gt;"",N($J35)&lt;=IFERROR(INDEX('Intervals'!$F$4:$F$33,MATCH($B35,'Intervals'!$A$4:$A$33,0)),14))),"Due soon","OK")))</f>
        <v/>
      </c>
      <c r="N35" s="15" t="n"/>
      <c r="O35" s="22">
        <f>IF(OR($M35="",$M35="OK"),"",$L35+ROW()/100000)</f>
        <v/>
      </c>
    </row>
    <row r="36">
      <c r="A36" s="15" t="n"/>
      <c r="B36" s="15" t="n"/>
      <c r="C36" s="16">
        <f>IF($B36="","",IFERROR(INDEX('Intervals'!$B$4:$B$33,MATCH($B36,'Intervals'!$A$4:$A$33,0)),""))</f>
        <v/>
      </c>
      <c r="D36" s="17" t="n"/>
      <c r="E36" s="18" t="n"/>
      <c r="F36" s="19">
        <f>IF(OR($B36="",$E36=""),"",IFERROR(IF(AND(INDEX('Intervals'!$G$4:$G$33,MATCH($B36,'Intervals'!$A$4:$A$33,0))&lt;&gt;"No",N(INDEX('Intervals'!$C$4:$C$33,MATCH($B36,'Intervals'!$A$4:$A$33,0)))&gt;0),$E36+N(INDEX('Intervals'!$C$4:$C$33,MATCH($B36,'Intervals'!$A$4:$A$33,0))),""),""))</f>
        <v/>
      </c>
      <c r="G36" s="20">
        <f>IF(OR($B36="",$D36=""),"",IFERROR(IF(AND(INDEX('Intervals'!$G$4:$G$33,MATCH($B36,'Intervals'!$A$4:$A$33,0))&lt;&gt;"No",N(INDEX('Intervals'!$D$4:$D$33,MATCH($B36,'Intervals'!$A$4:$A$33,0)))&gt;0),EDATE($D36,N(INDEX('Intervals'!$D$4:$D$33,MATCH($B36,'Intervals'!$A$4:$A$33,0)))),""),""))</f>
        <v/>
      </c>
      <c r="H36" s="19">
        <f>IF($A36="","",IFERROR(IF(N(INDEX('Cars'!$H$4:$H$103,MATCH($A36,'Cars'!$A$4:$A$103,0)))&gt;0,INDEX('Cars'!$H$4:$H$103,MATCH($A36,'Cars'!$A$4:$A$103,0)),""),""))</f>
        <v/>
      </c>
      <c r="I36" s="19">
        <f>IF(OR($F36="",$H36=""),"",$F36-$H36)</f>
        <v/>
      </c>
      <c r="J36" s="21">
        <f>IF($G36="","",$G36-TODAY())</f>
        <v/>
      </c>
      <c r="K36" s="21">
        <f>IF($I36="","",IFERROR(IF(N(INDEX('Cars'!$J$4:$J$103,MATCH($A36,'Cars'!$A$4:$A$103,0)))&gt;0,ROUND($I36/INDEX('Cars'!$J$4:$J$103,MATCH($A36,'Cars'!$A$4:$A$103,0))*30,0),""),""))</f>
        <v/>
      </c>
      <c r="L36" s="21">
        <f>IF(AND($J36="",$K36=""),"",MIN(IF($J36="",99999,$J36),IF($K36="",99999,$K36)))</f>
        <v/>
      </c>
      <c r="M36" s="16">
        <f>IF(AND($I36="",$J36=""),"",IF(OR(AND($I36&lt;&gt;"",N($I36)&lt;0),AND($J36&lt;&gt;"",N($J36)&lt;0)),"Overdue",IF(OR(AND($I36&lt;&gt;"",N($I36)&lt;=IFERROR(INDEX('Intervals'!$E$4:$E$33,MATCH($B36,'Intervals'!$A$4:$A$33,0)),500)),AND($J36&lt;&gt;"",N($J36)&lt;=IFERROR(INDEX('Intervals'!$F$4:$F$33,MATCH($B36,'Intervals'!$A$4:$A$33,0)),14))),"Due soon","OK")))</f>
        <v/>
      </c>
      <c r="N36" s="15" t="n"/>
      <c r="O36" s="22">
        <f>IF(OR($M36="",$M36="OK"),"",$L36+ROW()/100000)</f>
        <v/>
      </c>
    </row>
    <row r="37">
      <c r="A37" s="15" t="n"/>
      <c r="B37" s="15" t="n"/>
      <c r="C37" s="16">
        <f>IF($B37="","",IFERROR(INDEX('Intervals'!$B$4:$B$33,MATCH($B37,'Intervals'!$A$4:$A$33,0)),""))</f>
        <v/>
      </c>
      <c r="D37" s="17" t="n"/>
      <c r="E37" s="18" t="n"/>
      <c r="F37" s="19">
        <f>IF(OR($B37="",$E37=""),"",IFERROR(IF(AND(INDEX('Intervals'!$G$4:$G$33,MATCH($B37,'Intervals'!$A$4:$A$33,0))&lt;&gt;"No",N(INDEX('Intervals'!$C$4:$C$33,MATCH($B37,'Intervals'!$A$4:$A$33,0)))&gt;0),$E37+N(INDEX('Intervals'!$C$4:$C$33,MATCH($B37,'Intervals'!$A$4:$A$33,0))),""),""))</f>
        <v/>
      </c>
      <c r="G37" s="20">
        <f>IF(OR($B37="",$D37=""),"",IFERROR(IF(AND(INDEX('Intervals'!$G$4:$G$33,MATCH($B37,'Intervals'!$A$4:$A$33,0))&lt;&gt;"No",N(INDEX('Intervals'!$D$4:$D$33,MATCH($B37,'Intervals'!$A$4:$A$33,0)))&gt;0),EDATE($D37,N(INDEX('Intervals'!$D$4:$D$33,MATCH($B37,'Intervals'!$A$4:$A$33,0)))),""),""))</f>
        <v/>
      </c>
      <c r="H37" s="19">
        <f>IF($A37="","",IFERROR(IF(N(INDEX('Cars'!$H$4:$H$103,MATCH($A37,'Cars'!$A$4:$A$103,0)))&gt;0,INDEX('Cars'!$H$4:$H$103,MATCH($A37,'Cars'!$A$4:$A$103,0)),""),""))</f>
        <v/>
      </c>
      <c r="I37" s="19">
        <f>IF(OR($F37="",$H37=""),"",$F37-$H37)</f>
        <v/>
      </c>
      <c r="J37" s="21">
        <f>IF($G37="","",$G37-TODAY())</f>
        <v/>
      </c>
      <c r="K37" s="21">
        <f>IF($I37="","",IFERROR(IF(N(INDEX('Cars'!$J$4:$J$103,MATCH($A37,'Cars'!$A$4:$A$103,0)))&gt;0,ROUND($I37/INDEX('Cars'!$J$4:$J$103,MATCH($A37,'Cars'!$A$4:$A$103,0))*30,0),""),""))</f>
        <v/>
      </c>
      <c r="L37" s="21">
        <f>IF(AND($J37="",$K37=""),"",MIN(IF($J37="",99999,$J37),IF($K37="",99999,$K37)))</f>
        <v/>
      </c>
      <c r="M37" s="16">
        <f>IF(AND($I37="",$J37=""),"",IF(OR(AND($I37&lt;&gt;"",N($I37)&lt;0),AND($J37&lt;&gt;"",N($J37)&lt;0)),"Overdue",IF(OR(AND($I37&lt;&gt;"",N($I37)&lt;=IFERROR(INDEX('Intervals'!$E$4:$E$33,MATCH($B37,'Intervals'!$A$4:$A$33,0)),500)),AND($J37&lt;&gt;"",N($J37)&lt;=IFERROR(INDEX('Intervals'!$F$4:$F$33,MATCH($B37,'Intervals'!$A$4:$A$33,0)),14))),"Due soon","OK")))</f>
        <v/>
      </c>
      <c r="N37" s="15" t="n"/>
      <c r="O37" s="22">
        <f>IF(OR($M37="",$M37="OK"),"",$L37+ROW()/100000)</f>
        <v/>
      </c>
    </row>
    <row r="38">
      <c r="A38" s="15" t="n"/>
      <c r="B38" s="15" t="n"/>
      <c r="C38" s="16">
        <f>IF($B38="","",IFERROR(INDEX('Intervals'!$B$4:$B$33,MATCH($B38,'Intervals'!$A$4:$A$33,0)),""))</f>
        <v/>
      </c>
      <c r="D38" s="17" t="n"/>
      <c r="E38" s="18" t="n"/>
      <c r="F38" s="19">
        <f>IF(OR($B38="",$E38=""),"",IFERROR(IF(AND(INDEX('Intervals'!$G$4:$G$33,MATCH($B38,'Intervals'!$A$4:$A$33,0))&lt;&gt;"No",N(INDEX('Intervals'!$C$4:$C$33,MATCH($B38,'Intervals'!$A$4:$A$33,0)))&gt;0),$E38+N(INDEX('Intervals'!$C$4:$C$33,MATCH($B38,'Intervals'!$A$4:$A$33,0))),""),""))</f>
        <v/>
      </c>
      <c r="G38" s="20">
        <f>IF(OR($B38="",$D38=""),"",IFERROR(IF(AND(INDEX('Intervals'!$G$4:$G$33,MATCH($B38,'Intervals'!$A$4:$A$33,0))&lt;&gt;"No",N(INDEX('Intervals'!$D$4:$D$33,MATCH($B38,'Intervals'!$A$4:$A$33,0)))&gt;0),EDATE($D38,N(INDEX('Intervals'!$D$4:$D$33,MATCH($B38,'Intervals'!$A$4:$A$33,0)))),""),""))</f>
        <v/>
      </c>
      <c r="H38" s="19">
        <f>IF($A38="","",IFERROR(IF(N(INDEX('Cars'!$H$4:$H$103,MATCH($A38,'Cars'!$A$4:$A$103,0)))&gt;0,INDEX('Cars'!$H$4:$H$103,MATCH($A38,'Cars'!$A$4:$A$103,0)),""),""))</f>
        <v/>
      </c>
      <c r="I38" s="19">
        <f>IF(OR($F38="",$H38=""),"",$F38-$H38)</f>
        <v/>
      </c>
      <c r="J38" s="21">
        <f>IF($G38="","",$G38-TODAY())</f>
        <v/>
      </c>
      <c r="K38" s="21">
        <f>IF($I38="","",IFERROR(IF(N(INDEX('Cars'!$J$4:$J$103,MATCH($A38,'Cars'!$A$4:$A$103,0)))&gt;0,ROUND($I38/INDEX('Cars'!$J$4:$J$103,MATCH($A38,'Cars'!$A$4:$A$103,0))*30,0),""),""))</f>
        <v/>
      </c>
      <c r="L38" s="21">
        <f>IF(AND($J38="",$K38=""),"",MIN(IF($J38="",99999,$J38),IF($K38="",99999,$K38)))</f>
        <v/>
      </c>
      <c r="M38" s="16">
        <f>IF(AND($I38="",$J38=""),"",IF(OR(AND($I38&lt;&gt;"",N($I38)&lt;0),AND($J38&lt;&gt;"",N($J38)&lt;0)),"Overdue",IF(OR(AND($I38&lt;&gt;"",N($I38)&lt;=IFERROR(INDEX('Intervals'!$E$4:$E$33,MATCH($B38,'Intervals'!$A$4:$A$33,0)),500)),AND($J38&lt;&gt;"",N($J38)&lt;=IFERROR(INDEX('Intervals'!$F$4:$F$33,MATCH($B38,'Intervals'!$A$4:$A$33,0)),14))),"Due soon","OK")))</f>
        <v/>
      </c>
      <c r="N38" s="15" t="n"/>
      <c r="O38" s="22">
        <f>IF(OR($M38="",$M38="OK"),"",$L38+ROW()/100000)</f>
        <v/>
      </c>
    </row>
    <row r="39">
      <c r="A39" s="15" t="n"/>
      <c r="B39" s="15" t="n"/>
      <c r="C39" s="16">
        <f>IF($B39="","",IFERROR(INDEX('Intervals'!$B$4:$B$33,MATCH($B39,'Intervals'!$A$4:$A$33,0)),""))</f>
        <v/>
      </c>
      <c r="D39" s="17" t="n"/>
      <c r="E39" s="18" t="n"/>
      <c r="F39" s="19">
        <f>IF(OR($B39="",$E39=""),"",IFERROR(IF(AND(INDEX('Intervals'!$G$4:$G$33,MATCH($B39,'Intervals'!$A$4:$A$33,0))&lt;&gt;"No",N(INDEX('Intervals'!$C$4:$C$33,MATCH($B39,'Intervals'!$A$4:$A$33,0)))&gt;0),$E39+N(INDEX('Intervals'!$C$4:$C$33,MATCH($B39,'Intervals'!$A$4:$A$33,0))),""),""))</f>
        <v/>
      </c>
      <c r="G39" s="20">
        <f>IF(OR($B39="",$D39=""),"",IFERROR(IF(AND(INDEX('Intervals'!$G$4:$G$33,MATCH($B39,'Intervals'!$A$4:$A$33,0))&lt;&gt;"No",N(INDEX('Intervals'!$D$4:$D$33,MATCH($B39,'Intervals'!$A$4:$A$33,0)))&gt;0),EDATE($D39,N(INDEX('Intervals'!$D$4:$D$33,MATCH($B39,'Intervals'!$A$4:$A$33,0)))),""),""))</f>
        <v/>
      </c>
      <c r="H39" s="19">
        <f>IF($A39="","",IFERROR(IF(N(INDEX('Cars'!$H$4:$H$103,MATCH($A39,'Cars'!$A$4:$A$103,0)))&gt;0,INDEX('Cars'!$H$4:$H$103,MATCH($A39,'Cars'!$A$4:$A$103,0)),""),""))</f>
        <v/>
      </c>
      <c r="I39" s="19">
        <f>IF(OR($F39="",$H39=""),"",$F39-$H39)</f>
        <v/>
      </c>
      <c r="J39" s="21">
        <f>IF($G39="","",$G39-TODAY())</f>
        <v/>
      </c>
      <c r="K39" s="21">
        <f>IF($I39="","",IFERROR(IF(N(INDEX('Cars'!$J$4:$J$103,MATCH($A39,'Cars'!$A$4:$A$103,0)))&gt;0,ROUND($I39/INDEX('Cars'!$J$4:$J$103,MATCH($A39,'Cars'!$A$4:$A$103,0))*30,0),""),""))</f>
        <v/>
      </c>
      <c r="L39" s="21">
        <f>IF(AND($J39="",$K39=""),"",MIN(IF($J39="",99999,$J39),IF($K39="",99999,$K39)))</f>
        <v/>
      </c>
      <c r="M39" s="16">
        <f>IF(AND($I39="",$J39=""),"",IF(OR(AND($I39&lt;&gt;"",N($I39)&lt;0),AND($J39&lt;&gt;"",N($J39)&lt;0)),"Overdue",IF(OR(AND($I39&lt;&gt;"",N($I39)&lt;=IFERROR(INDEX('Intervals'!$E$4:$E$33,MATCH($B39,'Intervals'!$A$4:$A$33,0)),500)),AND($J39&lt;&gt;"",N($J39)&lt;=IFERROR(INDEX('Intervals'!$F$4:$F$33,MATCH($B39,'Intervals'!$A$4:$A$33,0)),14))),"Due soon","OK")))</f>
        <v/>
      </c>
      <c r="N39" s="15" t="n"/>
      <c r="O39" s="22">
        <f>IF(OR($M39="",$M39="OK"),"",$L39+ROW()/100000)</f>
        <v/>
      </c>
    </row>
    <row r="40">
      <c r="A40" s="15" t="n"/>
      <c r="B40" s="15" t="n"/>
      <c r="C40" s="16">
        <f>IF($B40="","",IFERROR(INDEX('Intervals'!$B$4:$B$33,MATCH($B40,'Intervals'!$A$4:$A$33,0)),""))</f>
        <v/>
      </c>
      <c r="D40" s="17" t="n"/>
      <c r="E40" s="18" t="n"/>
      <c r="F40" s="19">
        <f>IF(OR($B40="",$E40=""),"",IFERROR(IF(AND(INDEX('Intervals'!$G$4:$G$33,MATCH($B40,'Intervals'!$A$4:$A$33,0))&lt;&gt;"No",N(INDEX('Intervals'!$C$4:$C$33,MATCH($B40,'Intervals'!$A$4:$A$33,0)))&gt;0),$E40+N(INDEX('Intervals'!$C$4:$C$33,MATCH($B40,'Intervals'!$A$4:$A$33,0))),""),""))</f>
        <v/>
      </c>
      <c r="G40" s="20">
        <f>IF(OR($B40="",$D40=""),"",IFERROR(IF(AND(INDEX('Intervals'!$G$4:$G$33,MATCH($B40,'Intervals'!$A$4:$A$33,0))&lt;&gt;"No",N(INDEX('Intervals'!$D$4:$D$33,MATCH($B40,'Intervals'!$A$4:$A$33,0)))&gt;0),EDATE($D40,N(INDEX('Intervals'!$D$4:$D$33,MATCH($B40,'Intervals'!$A$4:$A$33,0)))),""),""))</f>
        <v/>
      </c>
      <c r="H40" s="19">
        <f>IF($A40="","",IFERROR(IF(N(INDEX('Cars'!$H$4:$H$103,MATCH($A40,'Cars'!$A$4:$A$103,0)))&gt;0,INDEX('Cars'!$H$4:$H$103,MATCH($A40,'Cars'!$A$4:$A$103,0)),""),""))</f>
        <v/>
      </c>
      <c r="I40" s="19">
        <f>IF(OR($F40="",$H40=""),"",$F40-$H40)</f>
        <v/>
      </c>
      <c r="J40" s="21">
        <f>IF($G40="","",$G40-TODAY())</f>
        <v/>
      </c>
      <c r="K40" s="21">
        <f>IF($I40="","",IFERROR(IF(N(INDEX('Cars'!$J$4:$J$103,MATCH($A40,'Cars'!$A$4:$A$103,0)))&gt;0,ROUND($I40/INDEX('Cars'!$J$4:$J$103,MATCH($A40,'Cars'!$A$4:$A$103,0))*30,0),""),""))</f>
        <v/>
      </c>
      <c r="L40" s="21">
        <f>IF(AND($J40="",$K40=""),"",MIN(IF($J40="",99999,$J40),IF($K40="",99999,$K40)))</f>
        <v/>
      </c>
      <c r="M40" s="16">
        <f>IF(AND($I40="",$J40=""),"",IF(OR(AND($I40&lt;&gt;"",N($I40)&lt;0),AND($J40&lt;&gt;"",N($J40)&lt;0)),"Overdue",IF(OR(AND($I40&lt;&gt;"",N($I40)&lt;=IFERROR(INDEX('Intervals'!$E$4:$E$33,MATCH($B40,'Intervals'!$A$4:$A$33,0)),500)),AND($J40&lt;&gt;"",N($J40)&lt;=IFERROR(INDEX('Intervals'!$F$4:$F$33,MATCH($B40,'Intervals'!$A$4:$A$33,0)),14))),"Due soon","OK")))</f>
        <v/>
      </c>
      <c r="N40" s="15" t="n"/>
      <c r="O40" s="22">
        <f>IF(OR($M40="",$M40="OK"),"",$L40+ROW()/100000)</f>
        <v/>
      </c>
    </row>
    <row r="41">
      <c r="A41" s="15" t="n"/>
      <c r="B41" s="15" t="n"/>
      <c r="C41" s="16">
        <f>IF($B41="","",IFERROR(INDEX('Intervals'!$B$4:$B$33,MATCH($B41,'Intervals'!$A$4:$A$33,0)),""))</f>
        <v/>
      </c>
      <c r="D41" s="17" t="n"/>
      <c r="E41" s="18" t="n"/>
      <c r="F41" s="19">
        <f>IF(OR($B41="",$E41=""),"",IFERROR(IF(AND(INDEX('Intervals'!$G$4:$G$33,MATCH($B41,'Intervals'!$A$4:$A$33,0))&lt;&gt;"No",N(INDEX('Intervals'!$C$4:$C$33,MATCH($B41,'Intervals'!$A$4:$A$33,0)))&gt;0),$E41+N(INDEX('Intervals'!$C$4:$C$33,MATCH($B41,'Intervals'!$A$4:$A$33,0))),""),""))</f>
        <v/>
      </c>
      <c r="G41" s="20">
        <f>IF(OR($B41="",$D41=""),"",IFERROR(IF(AND(INDEX('Intervals'!$G$4:$G$33,MATCH($B41,'Intervals'!$A$4:$A$33,0))&lt;&gt;"No",N(INDEX('Intervals'!$D$4:$D$33,MATCH($B41,'Intervals'!$A$4:$A$33,0)))&gt;0),EDATE($D41,N(INDEX('Intervals'!$D$4:$D$33,MATCH($B41,'Intervals'!$A$4:$A$33,0)))),""),""))</f>
        <v/>
      </c>
      <c r="H41" s="19">
        <f>IF($A41="","",IFERROR(IF(N(INDEX('Cars'!$H$4:$H$103,MATCH($A41,'Cars'!$A$4:$A$103,0)))&gt;0,INDEX('Cars'!$H$4:$H$103,MATCH($A41,'Cars'!$A$4:$A$103,0)),""),""))</f>
        <v/>
      </c>
      <c r="I41" s="19">
        <f>IF(OR($F41="",$H41=""),"",$F41-$H41)</f>
        <v/>
      </c>
      <c r="J41" s="21">
        <f>IF($G41="","",$G41-TODAY())</f>
        <v/>
      </c>
      <c r="K41" s="21">
        <f>IF($I41="","",IFERROR(IF(N(INDEX('Cars'!$J$4:$J$103,MATCH($A41,'Cars'!$A$4:$A$103,0)))&gt;0,ROUND($I41/INDEX('Cars'!$J$4:$J$103,MATCH($A41,'Cars'!$A$4:$A$103,0))*30,0),""),""))</f>
        <v/>
      </c>
      <c r="L41" s="21">
        <f>IF(AND($J41="",$K41=""),"",MIN(IF($J41="",99999,$J41),IF($K41="",99999,$K41)))</f>
        <v/>
      </c>
      <c r="M41" s="16">
        <f>IF(AND($I41="",$J41=""),"",IF(OR(AND($I41&lt;&gt;"",N($I41)&lt;0),AND($J41&lt;&gt;"",N($J41)&lt;0)),"Overdue",IF(OR(AND($I41&lt;&gt;"",N($I41)&lt;=IFERROR(INDEX('Intervals'!$E$4:$E$33,MATCH($B41,'Intervals'!$A$4:$A$33,0)),500)),AND($J41&lt;&gt;"",N($J41)&lt;=IFERROR(INDEX('Intervals'!$F$4:$F$33,MATCH($B41,'Intervals'!$A$4:$A$33,0)),14))),"Due soon","OK")))</f>
        <v/>
      </c>
      <c r="N41" s="15" t="n"/>
      <c r="O41" s="22">
        <f>IF(OR($M41="",$M41="OK"),"",$L41+ROW()/100000)</f>
        <v/>
      </c>
    </row>
    <row r="42">
      <c r="A42" s="15" t="n"/>
      <c r="B42" s="15" t="n"/>
      <c r="C42" s="16">
        <f>IF($B42="","",IFERROR(INDEX('Intervals'!$B$4:$B$33,MATCH($B42,'Intervals'!$A$4:$A$33,0)),""))</f>
        <v/>
      </c>
      <c r="D42" s="17" t="n"/>
      <c r="E42" s="18" t="n"/>
      <c r="F42" s="19">
        <f>IF(OR($B42="",$E42=""),"",IFERROR(IF(AND(INDEX('Intervals'!$G$4:$G$33,MATCH($B42,'Intervals'!$A$4:$A$33,0))&lt;&gt;"No",N(INDEX('Intervals'!$C$4:$C$33,MATCH($B42,'Intervals'!$A$4:$A$33,0)))&gt;0),$E42+N(INDEX('Intervals'!$C$4:$C$33,MATCH($B42,'Intervals'!$A$4:$A$33,0))),""),""))</f>
        <v/>
      </c>
      <c r="G42" s="20">
        <f>IF(OR($B42="",$D42=""),"",IFERROR(IF(AND(INDEX('Intervals'!$G$4:$G$33,MATCH($B42,'Intervals'!$A$4:$A$33,0))&lt;&gt;"No",N(INDEX('Intervals'!$D$4:$D$33,MATCH($B42,'Intervals'!$A$4:$A$33,0)))&gt;0),EDATE($D42,N(INDEX('Intervals'!$D$4:$D$33,MATCH($B42,'Intervals'!$A$4:$A$33,0)))),""),""))</f>
        <v/>
      </c>
      <c r="H42" s="19">
        <f>IF($A42="","",IFERROR(IF(N(INDEX('Cars'!$H$4:$H$103,MATCH($A42,'Cars'!$A$4:$A$103,0)))&gt;0,INDEX('Cars'!$H$4:$H$103,MATCH($A42,'Cars'!$A$4:$A$103,0)),""),""))</f>
        <v/>
      </c>
      <c r="I42" s="19">
        <f>IF(OR($F42="",$H42=""),"",$F42-$H42)</f>
        <v/>
      </c>
      <c r="J42" s="21">
        <f>IF($G42="","",$G42-TODAY())</f>
        <v/>
      </c>
      <c r="K42" s="21">
        <f>IF($I42="","",IFERROR(IF(N(INDEX('Cars'!$J$4:$J$103,MATCH($A42,'Cars'!$A$4:$A$103,0)))&gt;0,ROUND($I42/INDEX('Cars'!$J$4:$J$103,MATCH($A42,'Cars'!$A$4:$A$103,0))*30,0),""),""))</f>
        <v/>
      </c>
      <c r="L42" s="21">
        <f>IF(AND($J42="",$K42=""),"",MIN(IF($J42="",99999,$J42),IF($K42="",99999,$K42)))</f>
        <v/>
      </c>
      <c r="M42" s="16">
        <f>IF(AND($I42="",$J42=""),"",IF(OR(AND($I42&lt;&gt;"",N($I42)&lt;0),AND($J42&lt;&gt;"",N($J42)&lt;0)),"Overdue",IF(OR(AND($I42&lt;&gt;"",N($I42)&lt;=IFERROR(INDEX('Intervals'!$E$4:$E$33,MATCH($B42,'Intervals'!$A$4:$A$33,0)),500)),AND($J42&lt;&gt;"",N($J42)&lt;=IFERROR(INDEX('Intervals'!$F$4:$F$33,MATCH($B42,'Intervals'!$A$4:$A$33,0)),14))),"Due soon","OK")))</f>
        <v/>
      </c>
      <c r="N42" s="15" t="n"/>
      <c r="O42" s="22">
        <f>IF(OR($M42="",$M42="OK"),"",$L42+ROW()/100000)</f>
        <v/>
      </c>
    </row>
    <row r="43">
      <c r="A43" s="15" t="n"/>
      <c r="B43" s="15" t="n"/>
      <c r="C43" s="16">
        <f>IF($B43="","",IFERROR(INDEX('Intervals'!$B$4:$B$33,MATCH($B43,'Intervals'!$A$4:$A$33,0)),""))</f>
        <v/>
      </c>
      <c r="D43" s="17" t="n"/>
      <c r="E43" s="18" t="n"/>
      <c r="F43" s="19">
        <f>IF(OR($B43="",$E43=""),"",IFERROR(IF(AND(INDEX('Intervals'!$G$4:$G$33,MATCH($B43,'Intervals'!$A$4:$A$33,0))&lt;&gt;"No",N(INDEX('Intervals'!$C$4:$C$33,MATCH($B43,'Intervals'!$A$4:$A$33,0)))&gt;0),$E43+N(INDEX('Intervals'!$C$4:$C$33,MATCH($B43,'Intervals'!$A$4:$A$33,0))),""),""))</f>
        <v/>
      </c>
      <c r="G43" s="20">
        <f>IF(OR($B43="",$D43=""),"",IFERROR(IF(AND(INDEX('Intervals'!$G$4:$G$33,MATCH($B43,'Intervals'!$A$4:$A$33,0))&lt;&gt;"No",N(INDEX('Intervals'!$D$4:$D$33,MATCH($B43,'Intervals'!$A$4:$A$33,0)))&gt;0),EDATE($D43,N(INDEX('Intervals'!$D$4:$D$33,MATCH($B43,'Intervals'!$A$4:$A$33,0)))),""),""))</f>
        <v/>
      </c>
      <c r="H43" s="19">
        <f>IF($A43="","",IFERROR(IF(N(INDEX('Cars'!$H$4:$H$103,MATCH($A43,'Cars'!$A$4:$A$103,0)))&gt;0,INDEX('Cars'!$H$4:$H$103,MATCH($A43,'Cars'!$A$4:$A$103,0)),""),""))</f>
        <v/>
      </c>
      <c r="I43" s="19">
        <f>IF(OR($F43="",$H43=""),"",$F43-$H43)</f>
        <v/>
      </c>
      <c r="J43" s="21">
        <f>IF($G43="","",$G43-TODAY())</f>
        <v/>
      </c>
      <c r="K43" s="21">
        <f>IF($I43="","",IFERROR(IF(N(INDEX('Cars'!$J$4:$J$103,MATCH($A43,'Cars'!$A$4:$A$103,0)))&gt;0,ROUND($I43/INDEX('Cars'!$J$4:$J$103,MATCH($A43,'Cars'!$A$4:$A$103,0))*30,0),""),""))</f>
        <v/>
      </c>
      <c r="L43" s="21">
        <f>IF(AND($J43="",$K43=""),"",MIN(IF($J43="",99999,$J43),IF($K43="",99999,$K43)))</f>
        <v/>
      </c>
      <c r="M43" s="16">
        <f>IF(AND($I43="",$J43=""),"",IF(OR(AND($I43&lt;&gt;"",N($I43)&lt;0),AND($J43&lt;&gt;"",N($J43)&lt;0)),"Overdue",IF(OR(AND($I43&lt;&gt;"",N($I43)&lt;=IFERROR(INDEX('Intervals'!$E$4:$E$33,MATCH($B43,'Intervals'!$A$4:$A$33,0)),500)),AND($J43&lt;&gt;"",N($J43)&lt;=IFERROR(INDEX('Intervals'!$F$4:$F$33,MATCH($B43,'Intervals'!$A$4:$A$33,0)),14))),"Due soon","OK")))</f>
        <v/>
      </c>
      <c r="N43" s="15" t="n"/>
      <c r="O43" s="22">
        <f>IF(OR($M43="",$M43="OK"),"",$L43+ROW()/100000)</f>
        <v/>
      </c>
    </row>
    <row r="44">
      <c r="A44" s="15" t="n"/>
      <c r="B44" s="15" t="n"/>
      <c r="C44" s="16">
        <f>IF($B44="","",IFERROR(INDEX('Intervals'!$B$4:$B$33,MATCH($B44,'Intervals'!$A$4:$A$33,0)),""))</f>
        <v/>
      </c>
      <c r="D44" s="17" t="n"/>
      <c r="E44" s="18" t="n"/>
      <c r="F44" s="19">
        <f>IF(OR($B44="",$E44=""),"",IFERROR(IF(AND(INDEX('Intervals'!$G$4:$G$33,MATCH($B44,'Intervals'!$A$4:$A$33,0))&lt;&gt;"No",N(INDEX('Intervals'!$C$4:$C$33,MATCH($B44,'Intervals'!$A$4:$A$33,0)))&gt;0),$E44+N(INDEX('Intervals'!$C$4:$C$33,MATCH($B44,'Intervals'!$A$4:$A$33,0))),""),""))</f>
        <v/>
      </c>
      <c r="G44" s="20">
        <f>IF(OR($B44="",$D44=""),"",IFERROR(IF(AND(INDEX('Intervals'!$G$4:$G$33,MATCH($B44,'Intervals'!$A$4:$A$33,0))&lt;&gt;"No",N(INDEX('Intervals'!$D$4:$D$33,MATCH($B44,'Intervals'!$A$4:$A$33,0)))&gt;0),EDATE($D44,N(INDEX('Intervals'!$D$4:$D$33,MATCH($B44,'Intervals'!$A$4:$A$33,0)))),""),""))</f>
        <v/>
      </c>
      <c r="H44" s="19">
        <f>IF($A44="","",IFERROR(IF(N(INDEX('Cars'!$H$4:$H$103,MATCH($A44,'Cars'!$A$4:$A$103,0)))&gt;0,INDEX('Cars'!$H$4:$H$103,MATCH($A44,'Cars'!$A$4:$A$103,0)),""),""))</f>
        <v/>
      </c>
      <c r="I44" s="19">
        <f>IF(OR($F44="",$H44=""),"",$F44-$H44)</f>
        <v/>
      </c>
      <c r="J44" s="21">
        <f>IF($G44="","",$G44-TODAY())</f>
        <v/>
      </c>
      <c r="K44" s="21">
        <f>IF($I44="","",IFERROR(IF(N(INDEX('Cars'!$J$4:$J$103,MATCH($A44,'Cars'!$A$4:$A$103,0)))&gt;0,ROUND($I44/INDEX('Cars'!$J$4:$J$103,MATCH($A44,'Cars'!$A$4:$A$103,0))*30,0),""),""))</f>
        <v/>
      </c>
      <c r="L44" s="21">
        <f>IF(AND($J44="",$K44=""),"",MIN(IF($J44="",99999,$J44),IF($K44="",99999,$K44)))</f>
        <v/>
      </c>
      <c r="M44" s="16">
        <f>IF(AND($I44="",$J44=""),"",IF(OR(AND($I44&lt;&gt;"",N($I44)&lt;0),AND($J44&lt;&gt;"",N($J44)&lt;0)),"Overdue",IF(OR(AND($I44&lt;&gt;"",N($I44)&lt;=IFERROR(INDEX('Intervals'!$E$4:$E$33,MATCH($B44,'Intervals'!$A$4:$A$33,0)),500)),AND($J44&lt;&gt;"",N($J44)&lt;=IFERROR(INDEX('Intervals'!$F$4:$F$33,MATCH($B44,'Intervals'!$A$4:$A$33,0)),14))),"Due soon","OK")))</f>
        <v/>
      </c>
      <c r="N44" s="15" t="n"/>
      <c r="O44" s="22">
        <f>IF(OR($M44="",$M44="OK"),"",$L44+ROW()/100000)</f>
        <v/>
      </c>
    </row>
    <row r="45">
      <c r="A45" s="15" t="n"/>
      <c r="B45" s="15" t="n"/>
      <c r="C45" s="16">
        <f>IF($B45="","",IFERROR(INDEX('Intervals'!$B$4:$B$33,MATCH($B45,'Intervals'!$A$4:$A$33,0)),""))</f>
        <v/>
      </c>
      <c r="D45" s="17" t="n"/>
      <c r="E45" s="18" t="n"/>
      <c r="F45" s="19">
        <f>IF(OR($B45="",$E45=""),"",IFERROR(IF(AND(INDEX('Intervals'!$G$4:$G$33,MATCH($B45,'Intervals'!$A$4:$A$33,0))&lt;&gt;"No",N(INDEX('Intervals'!$C$4:$C$33,MATCH($B45,'Intervals'!$A$4:$A$33,0)))&gt;0),$E45+N(INDEX('Intervals'!$C$4:$C$33,MATCH($B45,'Intervals'!$A$4:$A$33,0))),""),""))</f>
        <v/>
      </c>
      <c r="G45" s="20">
        <f>IF(OR($B45="",$D45=""),"",IFERROR(IF(AND(INDEX('Intervals'!$G$4:$G$33,MATCH($B45,'Intervals'!$A$4:$A$33,0))&lt;&gt;"No",N(INDEX('Intervals'!$D$4:$D$33,MATCH($B45,'Intervals'!$A$4:$A$33,0)))&gt;0),EDATE($D45,N(INDEX('Intervals'!$D$4:$D$33,MATCH($B45,'Intervals'!$A$4:$A$33,0)))),""),""))</f>
        <v/>
      </c>
      <c r="H45" s="19">
        <f>IF($A45="","",IFERROR(IF(N(INDEX('Cars'!$H$4:$H$103,MATCH($A45,'Cars'!$A$4:$A$103,0)))&gt;0,INDEX('Cars'!$H$4:$H$103,MATCH($A45,'Cars'!$A$4:$A$103,0)),""),""))</f>
        <v/>
      </c>
      <c r="I45" s="19">
        <f>IF(OR($F45="",$H45=""),"",$F45-$H45)</f>
        <v/>
      </c>
      <c r="J45" s="21">
        <f>IF($G45="","",$G45-TODAY())</f>
        <v/>
      </c>
      <c r="K45" s="21">
        <f>IF($I45="","",IFERROR(IF(N(INDEX('Cars'!$J$4:$J$103,MATCH($A45,'Cars'!$A$4:$A$103,0)))&gt;0,ROUND($I45/INDEX('Cars'!$J$4:$J$103,MATCH($A45,'Cars'!$A$4:$A$103,0))*30,0),""),""))</f>
        <v/>
      </c>
      <c r="L45" s="21">
        <f>IF(AND($J45="",$K45=""),"",MIN(IF($J45="",99999,$J45),IF($K45="",99999,$K45)))</f>
        <v/>
      </c>
      <c r="M45" s="16">
        <f>IF(AND($I45="",$J45=""),"",IF(OR(AND($I45&lt;&gt;"",N($I45)&lt;0),AND($J45&lt;&gt;"",N($J45)&lt;0)),"Overdue",IF(OR(AND($I45&lt;&gt;"",N($I45)&lt;=IFERROR(INDEX('Intervals'!$E$4:$E$33,MATCH($B45,'Intervals'!$A$4:$A$33,0)),500)),AND($J45&lt;&gt;"",N($J45)&lt;=IFERROR(INDEX('Intervals'!$F$4:$F$33,MATCH($B45,'Intervals'!$A$4:$A$33,0)),14))),"Due soon","OK")))</f>
        <v/>
      </c>
      <c r="N45" s="15" t="n"/>
      <c r="O45" s="22">
        <f>IF(OR($M45="",$M45="OK"),"",$L45+ROW()/100000)</f>
        <v/>
      </c>
    </row>
    <row r="46">
      <c r="A46" s="15" t="n"/>
      <c r="B46" s="15" t="n"/>
      <c r="C46" s="16">
        <f>IF($B46="","",IFERROR(INDEX('Intervals'!$B$4:$B$33,MATCH($B46,'Intervals'!$A$4:$A$33,0)),""))</f>
        <v/>
      </c>
      <c r="D46" s="17" t="n"/>
      <c r="E46" s="18" t="n"/>
      <c r="F46" s="19">
        <f>IF(OR($B46="",$E46=""),"",IFERROR(IF(AND(INDEX('Intervals'!$G$4:$G$33,MATCH($B46,'Intervals'!$A$4:$A$33,0))&lt;&gt;"No",N(INDEX('Intervals'!$C$4:$C$33,MATCH($B46,'Intervals'!$A$4:$A$33,0)))&gt;0),$E46+N(INDEX('Intervals'!$C$4:$C$33,MATCH($B46,'Intervals'!$A$4:$A$33,0))),""),""))</f>
        <v/>
      </c>
      <c r="G46" s="20">
        <f>IF(OR($B46="",$D46=""),"",IFERROR(IF(AND(INDEX('Intervals'!$G$4:$G$33,MATCH($B46,'Intervals'!$A$4:$A$33,0))&lt;&gt;"No",N(INDEX('Intervals'!$D$4:$D$33,MATCH($B46,'Intervals'!$A$4:$A$33,0)))&gt;0),EDATE($D46,N(INDEX('Intervals'!$D$4:$D$33,MATCH($B46,'Intervals'!$A$4:$A$33,0)))),""),""))</f>
        <v/>
      </c>
      <c r="H46" s="19">
        <f>IF($A46="","",IFERROR(IF(N(INDEX('Cars'!$H$4:$H$103,MATCH($A46,'Cars'!$A$4:$A$103,0)))&gt;0,INDEX('Cars'!$H$4:$H$103,MATCH($A46,'Cars'!$A$4:$A$103,0)),""),""))</f>
        <v/>
      </c>
      <c r="I46" s="19">
        <f>IF(OR($F46="",$H46=""),"",$F46-$H46)</f>
        <v/>
      </c>
      <c r="J46" s="21">
        <f>IF($G46="","",$G46-TODAY())</f>
        <v/>
      </c>
      <c r="K46" s="21">
        <f>IF($I46="","",IFERROR(IF(N(INDEX('Cars'!$J$4:$J$103,MATCH($A46,'Cars'!$A$4:$A$103,0)))&gt;0,ROUND($I46/INDEX('Cars'!$J$4:$J$103,MATCH($A46,'Cars'!$A$4:$A$103,0))*30,0),""),""))</f>
        <v/>
      </c>
      <c r="L46" s="21">
        <f>IF(AND($J46="",$K46=""),"",MIN(IF($J46="",99999,$J46),IF($K46="",99999,$K46)))</f>
        <v/>
      </c>
      <c r="M46" s="16">
        <f>IF(AND($I46="",$J46=""),"",IF(OR(AND($I46&lt;&gt;"",N($I46)&lt;0),AND($J46&lt;&gt;"",N($J46)&lt;0)),"Overdue",IF(OR(AND($I46&lt;&gt;"",N($I46)&lt;=IFERROR(INDEX('Intervals'!$E$4:$E$33,MATCH($B46,'Intervals'!$A$4:$A$33,0)),500)),AND($J46&lt;&gt;"",N($J46)&lt;=IFERROR(INDEX('Intervals'!$F$4:$F$33,MATCH($B46,'Intervals'!$A$4:$A$33,0)),14))),"Due soon","OK")))</f>
        <v/>
      </c>
      <c r="N46" s="15" t="n"/>
      <c r="O46" s="22">
        <f>IF(OR($M46="",$M46="OK"),"",$L46+ROW()/100000)</f>
        <v/>
      </c>
    </row>
    <row r="47">
      <c r="A47" s="15" t="n"/>
      <c r="B47" s="15" t="n"/>
      <c r="C47" s="16">
        <f>IF($B47="","",IFERROR(INDEX('Intervals'!$B$4:$B$33,MATCH($B47,'Intervals'!$A$4:$A$33,0)),""))</f>
        <v/>
      </c>
      <c r="D47" s="17" t="n"/>
      <c r="E47" s="18" t="n"/>
      <c r="F47" s="19">
        <f>IF(OR($B47="",$E47=""),"",IFERROR(IF(AND(INDEX('Intervals'!$G$4:$G$33,MATCH($B47,'Intervals'!$A$4:$A$33,0))&lt;&gt;"No",N(INDEX('Intervals'!$C$4:$C$33,MATCH($B47,'Intervals'!$A$4:$A$33,0)))&gt;0),$E47+N(INDEX('Intervals'!$C$4:$C$33,MATCH($B47,'Intervals'!$A$4:$A$33,0))),""),""))</f>
        <v/>
      </c>
      <c r="G47" s="20">
        <f>IF(OR($B47="",$D47=""),"",IFERROR(IF(AND(INDEX('Intervals'!$G$4:$G$33,MATCH($B47,'Intervals'!$A$4:$A$33,0))&lt;&gt;"No",N(INDEX('Intervals'!$D$4:$D$33,MATCH($B47,'Intervals'!$A$4:$A$33,0)))&gt;0),EDATE($D47,N(INDEX('Intervals'!$D$4:$D$33,MATCH($B47,'Intervals'!$A$4:$A$33,0)))),""),""))</f>
        <v/>
      </c>
      <c r="H47" s="19">
        <f>IF($A47="","",IFERROR(IF(N(INDEX('Cars'!$H$4:$H$103,MATCH($A47,'Cars'!$A$4:$A$103,0)))&gt;0,INDEX('Cars'!$H$4:$H$103,MATCH($A47,'Cars'!$A$4:$A$103,0)),""),""))</f>
        <v/>
      </c>
      <c r="I47" s="19">
        <f>IF(OR($F47="",$H47=""),"",$F47-$H47)</f>
        <v/>
      </c>
      <c r="J47" s="21">
        <f>IF($G47="","",$G47-TODAY())</f>
        <v/>
      </c>
      <c r="K47" s="21">
        <f>IF($I47="","",IFERROR(IF(N(INDEX('Cars'!$J$4:$J$103,MATCH($A47,'Cars'!$A$4:$A$103,0)))&gt;0,ROUND($I47/INDEX('Cars'!$J$4:$J$103,MATCH($A47,'Cars'!$A$4:$A$103,0))*30,0),""),""))</f>
        <v/>
      </c>
      <c r="L47" s="21">
        <f>IF(AND($J47="",$K47=""),"",MIN(IF($J47="",99999,$J47),IF($K47="",99999,$K47)))</f>
        <v/>
      </c>
      <c r="M47" s="16">
        <f>IF(AND($I47="",$J47=""),"",IF(OR(AND($I47&lt;&gt;"",N($I47)&lt;0),AND($J47&lt;&gt;"",N($J47)&lt;0)),"Overdue",IF(OR(AND($I47&lt;&gt;"",N($I47)&lt;=IFERROR(INDEX('Intervals'!$E$4:$E$33,MATCH($B47,'Intervals'!$A$4:$A$33,0)),500)),AND($J47&lt;&gt;"",N($J47)&lt;=IFERROR(INDEX('Intervals'!$F$4:$F$33,MATCH($B47,'Intervals'!$A$4:$A$33,0)),14))),"Due soon","OK")))</f>
        <v/>
      </c>
      <c r="N47" s="15" t="n"/>
      <c r="O47" s="22">
        <f>IF(OR($M47="",$M47="OK"),"",$L47+ROW()/100000)</f>
        <v/>
      </c>
    </row>
    <row r="48">
      <c r="A48" s="15" t="n"/>
      <c r="B48" s="15" t="n"/>
      <c r="C48" s="16">
        <f>IF($B48="","",IFERROR(INDEX('Intervals'!$B$4:$B$33,MATCH($B48,'Intervals'!$A$4:$A$33,0)),""))</f>
        <v/>
      </c>
      <c r="D48" s="17" t="n"/>
      <c r="E48" s="18" t="n"/>
      <c r="F48" s="19">
        <f>IF(OR($B48="",$E48=""),"",IFERROR(IF(AND(INDEX('Intervals'!$G$4:$G$33,MATCH($B48,'Intervals'!$A$4:$A$33,0))&lt;&gt;"No",N(INDEX('Intervals'!$C$4:$C$33,MATCH($B48,'Intervals'!$A$4:$A$33,0)))&gt;0),$E48+N(INDEX('Intervals'!$C$4:$C$33,MATCH($B48,'Intervals'!$A$4:$A$33,0))),""),""))</f>
        <v/>
      </c>
      <c r="G48" s="20">
        <f>IF(OR($B48="",$D48=""),"",IFERROR(IF(AND(INDEX('Intervals'!$G$4:$G$33,MATCH($B48,'Intervals'!$A$4:$A$33,0))&lt;&gt;"No",N(INDEX('Intervals'!$D$4:$D$33,MATCH($B48,'Intervals'!$A$4:$A$33,0)))&gt;0),EDATE($D48,N(INDEX('Intervals'!$D$4:$D$33,MATCH($B48,'Intervals'!$A$4:$A$33,0)))),""),""))</f>
        <v/>
      </c>
      <c r="H48" s="19">
        <f>IF($A48="","",IFERROR(IF(N(INDEX('Cars'!$H$4:$H$103,MATCH($A48,'Cars'!$A$4:$A$103,0)))&gt;0,INDEX('Cars'!$H$4:$H$103,MATCH($A48,'Cars'!$A$4:$A$103,0)),""),""))</f>
        <v/>
      </c>
      <c r="I48" s="19">
        <f>IF(OR($F48="",$H48=""),"",$F48-$H48)</f>
        <v/>
      </c>
      <c r="J48" s="21">
        <f>IF($G48="","",$G48-TODAY())</f>
        <v/>
      </c>
      <c r="K48" s="21">
        <f>IF($I48="","",IFERROR(IF(N(INDEX('Cars'!$J$4:$J$103,MATCH($A48,'Cars'!$A$4:$A$103,0)))&gt;0,ROUND($I48/INDEX('Cars'!$J$4:$J$103,MATCH($A48,'Cars'!$A$4:$A$103,0))*30,0),""),""))</f>
        <v/>
      </c>
      <c r="L48" s="21">
        <f>IF(AND($J48="",$K48=""),"",MIN(IF($J48="",99999,$J48),IF($K48="",99999,$K48)))</f>
        <v/>
      </c>
      <c r="M48" s="16">
        <f>IF(AND($I48="",$J48=""),"",IF(OR(AND($I48&lt;&gt;"",N($I48)&lt;0),AND($J48&lt;&gt;"",N($J48)&lt;0)),"Overdue",IF(OR(AND($I48&lt;&gt;"",N($I48)&lt;=IFERROR(INDEX('Intervals'!$E$4:$E$33,MATCH($B48,'Intervals'!$A$4:$A$33,0)),500)),AND($J48&lt;&gt;"",N($J48)&lt;=IFERROR(INDEX('Intervals'!$F$4:$F$33,MATCH($B48,'Intervals'!$A$4:$A$33,0)),14))),"Due soon","OK")))</f>
        <v/>
      </c>
      <c r="N48" s="15" t="n"/>
      <c r="O48" s="22">
        <f>IF(OR($M48="",$M48="OK"),"",$L48+ROW()/100000)</f>
        <v/>
      </c>
    </row>
    <row r="49">
      <c r="A49" s="15" t="n"/>
      <c r="B49" s="15" t="n"/>
      <c r="C49" s="16">
        <f>IF($B49="","",IFERROR(INDEX('Intervals'!$B$4:$B$33,MATCH($B49,'Intervals'!$A$4:$A$33,0)),""))</f>
        <v/>
      </c>
      <c r="D49" s="17" t="n"/>
      <c r="E49" s="18" t="n"/>
      <c r="F49" s="19">
        <f>IF(OR($B49="",$E49=""),"",IFERROR(IF(AND(INDEX('Intervals'!$G$4:$G$33,MATCH($B49,'Intervals'!$A$4:$A$33,0))&lt;&gt;"No",N(INDEX('Intervals'!$C$4:$C$33,MATCH($B49,'Intervals'!$A$4:$A$33,0)))&gt;0),$E49+N(INDEX('Intervals'!$C$4:$C$33,MATCH($B49,'Intervals'!$A$4:$A$33,0))),""),""))</f>
        <v/>
      </c>
      <c r="G49" s="20">
        <f>IF(OR($B49="",$D49=""),"",IFERROR(IF(AND(INDEX('Intervals'!$G$4:$G$33,MATCH($B49,'Intervals'!$A$4:$A$33,0))&lt;&gt;"No",N(INDEX('Intervals'!$D$4:$D$33,MATCH($B49,'Intervals'!$A$4:$A$33,0)))&gt;0),EDATE($D49,N(INDEX('Intervals'!$D$4:$D$33,MATCH($B49,'Intervals'!$A$4:$A$33,0)))),""),""))</f>
        <v/>
      </c>
      <c r="H49" s="19">
        <f>IF($A49="","",IFERROR(IF(N(INDEX('Cars'!$H$4:$H$103,MATCH($A49,'Cars'!$A$4:$A$103,0)))&gt;0,INDEX('Cars'!$H$4:$H$103,MATCH($A49,'Cars'!$A$4:$A$103,0)),""),""))</f>
        <v/>
      </c>
      <c r="I49" s="19">
        <f>IF(OR($F49="",$H49=""),"",$F49-$H49)</f>
        <v/>
      </c>
      <c r="J49" s="21">
        <f>IF($G49="","",$G49-TODAY())</f>
        <v/>
      </c>
      <c r="K49" s="21">
        <f>IF($I49="","",IFERROR(IF(N(INDEX('Cars'!$J$4:$J$103,MATCH($A49,'Cars'!$A$4:$A$103,0)))&gt;0,ROUND($I49/INDEX('Cars'!$J$4:$J$103,MATCH($A49,'Cars'!$A$4:$A$103,0))*30,0),""),""))</f>
        <v/>
      </c>
      <c r="L49" s="21">
        <f>IF(AND($J49="",$K49=""),"",MIN(IF($J49="",99999,$J49),IF($K49="",99999,$K49)))</f>
        <v/>
      </c>
      <c r="M49" s="16">
        <f>IF(AND($I49="",$J49=""),"",IF(OR(AND($I49&lt;&gt;"",N($I49)&lt;0),AND($J49&lt;&gt;"",N($J49)&lt;0)),"Overdue",IF(OR(AND($I49&lt;&gt;"",N($I49)&lt;=IFERROR(INDEX('Intervals'!$E$4:$E$33,MATCH($B49,'Intervals'!$A$4:$A$33,0)),500)),AND($J49&lt;&gt;"",N($J49)&lt;=IFERROR(INDEX('Intervals'!$F$4:$F$33,MATCH($B49,'Intervals'!$A$4:$A$33,0)),14))),"Due soon","OK")))</f>
        <v/>
      </c>
      <c r="N49" s="15" t="n"/>
      <c r="O49" s="22">
        <f>IF(OR($M49="",$M49="OK"),"",$L49+ROW()/100000)</f>
        <v/>
      </c>
    </row>
    <row r="50">
      <c r="A50" s="15" t="n"/>
      <c r="B50" s="15" t="n"/>
      <c r="C50" s="16">
        <f>IF($B50="","",IFERROR(INDEX('Intervals'!$B$4:$B$33,MATCH($B50,'Intervals'!$A$4:$A$33,0)),""))</f>
        <v/>
      </c>
      <c r="D50" s="17" t="n"/>
      <c r="E50" s="18" t="n"/>
      <c r="F50" s="19">
        <f>IF(OR($B50="",$E50=""),"",IFERROR(IF(AND(INDEX('Intervals'!$G$4:$G$33,MATCH($B50,'Intervals'!$A$4:$A$33,0))&lt;&gt;"No",N(INDEX('Intervals'!$C$4:$C$33,MATCH($B50,'Intervals'!$A$4:$A$33,0)))&gt;0),$E50+N(INDEX('Intervals'!$C$4:$C$33,MATCH($B50,'Intervals'!$A$4:$A$33,0))),""),""))</f>
        <v/>
      </c>
      <c r="G50" s="20">
        <f>IF(OR($B50="",$D50=""),"",IFERROR(IF(AND(INDEX('Intervals'!$G$4:$G$33,MATCH($B50,'Intervals'!$A$4:$A$33,0))&lt;&gt;"No",N(INDEX('Intervals'!$D$4:$D$33,MATCH($B50,'Intervals'!$A$4:$A$33,0)))&gt;0),EDATE($D50,N(INDEX('Intervals'!$D$4:$D$33,MATCH($B50,'Intervals'!$A$4:$A$33,0)))),""),""))</f>
        <v/>
      </c>
      <c r="H50" s="19">
        <f>IF($A50="","",IFERROR(IF(N(INDEX('Cars'!$H$4:$H$103,MATCH($A50,'Cars'!$A$4:$A$103,0)))&gt;0,INDEX('Cars'!$H$4:$H$103,MATCH($A50,'Cars'!$A$4:$A$103,0)),""),""))</f>
        <v/>
      </c>
      <c r="I50" s="19">
        <f>IF(OR($F50="",$H50=""),"",$F50-$H50)</f>
        <v/>
      </c>
      <c r="J50" s="21">
        <f>IF($G50="","",$G50-TODAY())</f>
        <v/>
      </c>
      <c r="K50" s="21">
        <f>IF($I50="","",IFERROR(IF(N(INDEX('Cars'!$J$4:$J$103,MATCH($A50,'Cars'!$A$4:$A$103,0)))&gt;0,ROUND($I50/INDEX('Cars'!$J$4:$J$103,MATCH($A50,'Cars'!$A$4:$A$103,0))*30,0),""),""))</f>
        <v/>
      </c>
      <c r="L50" s="21">
        <f>IF(AND($J50="",$K50=""),"",MIN(IF($J50="",99999,$J50),IF($K50="",99999,$K50)))</f>
        <v/>
      </c>
      <c r="M50" s="16">
        <f>IF(AND($I50="",$J50=""),"",IF(OR(AND($I50&lt;&gt;"",N($I50)&lt;0),AND($J50&lt;&gt;"",N($J50)&lt;0)),"Overdue",IF(OR(AND($I50&lt;&gt;"",N($I50)&lt;=IFERROR(INDEX('Intervals'!$E$4:$E$33,MATCH($B50,'Intervals'!$A$4:$A$33,0)),500)),AND($J50&lt;&gt;"",N($J50)&lt;=IFERROR(INDEX('Intervals'!$F$4:$F$33,MATCH($B50,'Intervals'!$A$4:$A$33,0)),14))),"Due soon","OK")))</f>
        <v/>
      </c>
      <c r="N50" s="15" t="n"/>
      <c r="O50" s="22">
        <f>IF(OR($M50="",$M50="OK"),"",$L50+ROW()/100000)</f>
        <v/>
      </c>
    </row>
    <row r="51">
      <c r="A51" s="15" t="n"/>
      <c r="B51" s="15" t="n"/>
      <c r="C51" s="16">
        <f>IF($B51="","",IFERROR(INDEX('Intervals'!$B$4:$B$33,MATCH($B51,'Intervals'!$A$4:$A$33,0)),""))</f>
        <v/>
      </c>
      <c r="D51" s="17" t="n"/>
      <c r="E51" s="18" t="n"/>
      <c r="F51" s="19">
        <f>IF(OR($B51="",$E51=""),"",IFERROR(IF(AND(INDEX('Intervals'!$G$4:$G$33,MATCH($B51,'Intervals'!$A$4:$A$33,0))&lt;&gt;"No",N(INDEX('Intervals'!$C$4:$C$33,MATCH($B51,'Intervals'!$A$4:$A$33,0)))&gt;0),$E51+N(INDEX('Intervals'!$C$4:$C$33,MATCH($B51,'Intervals'!$A$4:$A$33,0))),""),""))</f>
        <v/>
      </c>
      <c r="G51" s="20">
        <f>IF(OR($B51="",$D51=""),"",IFERROR(IF(AND(INDEX('Intervals'!$G$4:$G$33,MATCH($B51,'Intervals'!$A$4:$A$33,0))&lt;&gt;"No",N(INDEX('Intervals'!$D$4:$D$33,MATCH($B51,'Intervals'!$A$4:$A$33,0)))&gt;0),EDATE($D51,N(INDEX('Intervals'!$D$4:$D$33,MATCH($B51,'Intervals'!$A$4:$A$33,0)))),""),""))</f>
        <v/>
      </c>
      <c r="H51" s="19">
        <f>IF($A51="","",IFERROR(IF(N(INDEX('Cars'!$H$4:$H$103,MATCH($A51,'Cars'!$A$4:$A$103,0)))&gt;0,INDEX('Cars'!$H$4:$H$103,MATCH($A51,'Cars'!$A$4:$A$103,0)),""),""))</f>
        <v/>
      </c>
      <c r="I51" s="19">
        <f>IF(OR($F51="",$H51=""),"",$F51-$H51)</f>
        <v/>
      </c>
      <c r="J51" s="21">
        <f>IF($G51="","",$G51-TODAY())</f>
        <v/>
      </c>
      <c r="K51" s="21">
        <f>IF($I51="","",IFERROR(IF(N(INDEX('Cars'!$J$4:$J$103,MATCH($A51,'Cars'!$A$4:$A$103,0)))&gt;0,ROUND($I51/INDEX('Cars'!$J$4:$J$103,MATCH($A51,'Cars'!$A$4:$A$103,0))*30,0),""),""))</f>
        <v/>
      </c>
      <c r="L51" s="21">
        <f>IF(AND($J51="",$K51=""),"",MIN(IF($J51="",99999,$J51),IF($K51="",99999,$K51)))</f>
        <v/>
      </c>
      <c r="M51" s="16">
        <f>IF(AND($I51="",$J51=""),"",IF(OR(AND($I51&lt;&gt;"",N($I51)&lt;0),AND($J51&lt;&gt;"",N($J51)&lt;0)),"Overdue",IF(OR(AND($I51&lt;&gt;"",N($I51)&lt;=IFERROR(INDEX('Intervals'!$E$4:$E$33,MATCH($B51,'Intervals'!$A$4:$A$33,0)),500)),AND($J51&lt;&gt;"",N($J51)&lt;=IFERROR(INDEX('Intervals'!$F$4:$F$33,MATCH($B51,'Intervals'!$A$4:$A$33,0)),14))),"Due soon","OK")))</f>
        <v/>
      </c>
      <c r="N51" s="15" t="n"/>
      <c r="O51" s="22">
        <f>IF(OR($M51="",$M51="OK"),"",$L51+ROW()/100000)</f>
        <v/>
      </c>
    </row>
    <row r="52">
      <c r="A52" s="15" t="n"/>
      <c r="B52" s="15" t="n"/>
      <c r="C52" s="16">
        <f>IF($B52="","",IFERROR(INDEX('Intervals'!$B$4:$B$33,MATCH($B52,'Intervals'!$A$4:$A$33,0)),""))</f>
        <v/>
      </c>
      <c r="D52" s="17" t="n"/>
      <c r="E52" s="18" t="n"/>
      <c r="F52" s="19">
        <f>IF(OR($B52="",$E52=""),"",IFERROR(IF(AND(INDEX('Intervals'!$G$4:$G$33,MATCH($B52,'Intervals'!$A$4:$A$33,0))&lt;&gt;"No",N(INDEX('Intervals'!$C$4:$C$33,MATCH($B52,'Intervals'!$A$4:$A$33,0)))&gt;0),$E52+N(INDEX('Intervals'!$C$4:$C$33,MATCH($B52,'Intervals'!$A$4:$A$33,0))),""),""))</f>
        <v/>
      </c>
      <c r="G52" s="20">
        <f>IF(OR($B52="",$D52=""),"",IFERROR(IF(AND(INDEX('Intervals'!$G$4:$G$33,MATCH($B52,'Intervals'!$A$4:$A$33,0))&lt;&gt;"No",N(INDEX('Intervals'!$D$4:$D$33,MATCH($B52,'Intervals'!$A$4:$A$33,0)))&gt;0),EDATE($D52,N(INDEX('Intervals'!$D$4:$D$33,MATCH($B52,'Intervals'!$A$4:$A$33,0)))),""),""))</f>
        <v/>
      </c>
      <c r="H52" s="19">
        <f>IF($A52="","",IFERROR(IF(N(INDEX('Cars'!$H$4:$H$103,MATCH($A52,'Cars'!$A$4:$A$103,0)))&gt;0,INDEX('Cars'!$H$4:$H$103,MATCH($A52,'Cars'!$A$4:$A$103,0)),""),""))</f>
        <v/>
      </c>
      <c r="I52" s="19">
        <f>IF(OR($F52="",$H52=""),"",$F52-$H52)</f>
        <v/>
      </c>
      <c r="J52" s="21">
        <f>IF($G52="","",$G52-TODAY())</f>
        <v/>
      </c>
      <c r="K52" s="21">
        <f>IF($I52="","",IFERROR(IF(N(INDEX('Cars'!$J$4:$J$103,MATCH($A52,'Cars'!$A$4:$A$103,0)))&gt;0,ROUND($I52/INDEX('Cars'!$J$4:$J$103,MATCH($A52,'Cars'!$A$4:$A$103,0))*30,0),""),""))</f>
        <v/>
      </c>
      <c r="L52" s="21">
        <f>IF(AND($J52="",$K52=""),"",MIN(IF($J52="",99999,$J52),IF($K52="",99999,$K52)))</f>
        <v/>
      </c>
      <c r="M52" s="16">
        <f>IF(AND($I52="",$J52=""),"",IF(OR(AND($I52&lt;&gt;"",N($I52)&lt;0),AND($J52&lt;&gt;"",N($J52)&lt;0)),"Overdue",IF(OR(AND($I52&lt;&gt;"",N($I52)&lt;=IFERROR(INDEX('Intervals'!$E$4:$E$33,MATCH($B52,'Intervals'!$A$4:$A$33,0)),500)),AND($J52&lt;&gt;"",N($J52)&lt;=IFERROR(INDEX('Intervals'!$F$4:$F$33,MATCH($B52,'Intervals'!$A$4:$A$33,0)),14))),"Due soon","OK")))</f>
        <v/>
      </c>
      <c r="N52" s="15" t="n"/>
      <c r="O52" s="22">
        <f>IF(OR($M52="",$M52="OK"),"",$L52+ROW()/100000)</f>
        <v/>
      </c>
    </row>
    <row r="53">
      <c r="A53" s="15" t="n"/>
      <c r="B53" s="15" t="n"/>
      <c r="C53" s="16">
        <f>IF($B53="","",IFERROR(INDEX('Intervals'!$B$4:$B$33,MATCH($B53,'Intervals'!$A$4:$A$33,0)),""))</f>
        <v/>
      </c>
      <c r="D53" s="17" t="n"/>
      <c r="E53" s="18" t="n"/>
      <c r="F53" s="19">
        <f>IF(OR($B53="",$E53=""),"",IFERROR(IF(AND(INDEX('Intervals'!$G$4:$G$33,MATCH($B53,'Intervals'!$A$4:$A$33,0))&lt;&gt;"No",N(INDEX('Intervals'!$C$4:$C$33,MATCH($B53,'Intervals'!$A$4:$A$33,0)))&gt;0),$E53+N(INDEX('Intervals'!$C$4:$C$33,MATCH($B53,'Intervals'!$A$4:$A$33,0))),""),""))</f>
        <v/>
      </c>
      <c r="G53" s="20">
        <f>IF(OR($B53="",$D53=""),"",IFERROR(IF(AND(INDEX('Intervals'!$G$4:$G$33,MATCH($B53,'Intervals'!$A$4:$A$33,0))&lt;&gt;"No",N(INDEX('Intervals'!$D$4:$D$33,MATCH($B53,'Intervals'!$A$4:$A$33,0)))&gt;0),EDATE($D53,N(INDEX('Intervals'!$D$4:$D$33,MATCH($B53,'Intervals'!$A$4:$A$33,0)))),""),""))</f>
        <v/>
      </c>
      <c r="H53" s="19">
        <f>IF($A53="","",IFERROR(IF(N(INDEX('Cars'!$H$4:$H$103,MATCH($A53,'Cars'!$A$4:$A$103,0)))&gt;0,INDEX('Cars'!$H$4:$H$103,MATCH($A53,'Cars'!$A$4:$A$103,0)),""),""))</f>
        <v/>
      </c>
      <c r="I53" s="19">
        <f>IF(OR($F53="",$H53=""),"",$F53-$H53)</f>
        <v/>
      </c>
      <c r="J53" s="21">
        <f>IF($G53="","",$G53-TODAY())</f>
        <v/>
      </c>
      <c r="K53" s="21">
        <f>IF($I53="","",IFERROR(IF(N(INDEX('Cars'!$J$4:$J$103,MATCH($A53,'Cars'!$A$4:$A$103,0)))&gt;0,ROUND($I53/INDEX('Cars'!$J$4:$J$103,MATCH($A53,'Cars'!$A$4:$A$103,0))*30,0),""),""))</f>
        <v/>
      </c>
      <c r="L53" s="21">
        <f>IF(AND($J53="",$K53=""),"",MIN(IF($J53="",99999,$J53),IF($K53="",99999,$K53)))</f>
        <v/>
      </c>
      <c r="M53" s="16">
        <f>IF(AND($I53="",$J53=""),"",IF(OR(AND($I53&lt;&gt;"",N($I53)&lt;0),AND($J53&lt;&gt;"",N($J53)&lt;0)),"Overdue",IF(OR(AND($I53&lt;&gt;"",N($I53)&lt;=IFERROR(INDEX('Intervals'!$E$4:$E$33,MATCH($B53,'Intervals'!$A$4:$A$33,0)),500)),AND($J53&lt;&gt;"",N($J53)&lt;=IFERROR(INDEX('Intervals'!$F$4:$F$33,MATCH($B53,'Intervals'!$A$4:$A$33,0)),14))),"Due soon","OK")))</f>
        <v/>
      </c>
      <c r="N53" s="15" t="n"/>
      <c r="O53" s="22">
        <f>IF(OR($M53="",$M53="OK"),"",$L53+ROW()/100000)</f>
        <v/>
      </c>
    </row>
    <row r="54">
      <c r="A54" s="15" t="n"/>
      <c r="B54" s="15" t="n"/>
      <c r="C54" s="16">
        <f>IF($B54="","",IFERROR(INDEX('Intervals'!$B$4:$B$33,MATCH($B54,'Intervals'!$A$4:$A$33,0)),""))</f>
        <v/>
      </c>
      <c r="D54" s="17" t="n"/>
      <c r="E54" s="18" t="n"/>
      <c r="F54" s="19">
        <f>IF(OR($B54="",$E54=""),"",IFERROR(IF(AND(INDEX('Intervals'!$G$4:$G$33,MATCH($B54,'Intervals'!$A$4:$A$33,0))&lt;&gt;"No",N(INDEX('Intervals'!$C$4:$C$33,MATCH($B54,'Intervals'!$A$4:$A$33,0)))&gt;0),$E54+N(INDEX('Intervals'!$C$4:$C$33,MATCH($B54,'Intervals'!$A$4:$A$33,0))),""),""))</f>
        <v/>
      </c>
      <c r="G54" s="20">
        <f>IF(OR($B54="",$D54=""),"",IFERROR(IF(AND(INDEX('Intervals'!$G$4:$G$33,MATCH($B54,'Intervals'!$A$4:$A$33,0))&lt;&gt;"No",N(INDEX('Intervals'!$D$4:$D$33,MATCH($B54,'Intervals'!$A$4:$A$33,0)))&gt;0),EDATE($D54,N(INDEX('Intervals'!$D$4:$D$33,MATCH($B54,'Intervals'!$A$4:$A$33,0)))),""),""))</f>
        <v/>
      </c>
      <c r="H54" s="19">
        <f>IF($A54="","",IFERROR(IF(N(INDEX('Cars'!$H$4:$H$103,MATCH($A54,'Cars'!$A$4:$A$103,0)))&gt;0,INDEX('Cars'!$H$4:$H$103,MATCH($A54,'Cars'!$A$4:$A$103,0)),""),""))</f>
        <v/>
      </c>
      <c r="I54" s="19">
        <f>IF(OR($F54="",$H54=""),"",$F54-$H54)</f>
        <v/>
      </c>
      <c r="J54" s="21">
        <f>IF($G54="","",$G54-TODAY())</f>
        <v/>
      </c>
      <c r="K54" s="21">
        <f>IF($I54="","",IFERROR(IF(N(INDEX('Cars'!$J$4:$J$103,MATCH($A54,'Cars'!$A$4:$A$103,0)))&gt;0,ROUND($I54/INDEX('Cars'!$J$4:$J$103,MATCH($A54,'Cars'!$A$4:$A$103,0))*30,0),""),""))</f>
        <v/>
      </c>
      <c r="L54" s="21">
        <f>IF(AND($J54="",$K54=""),"",MIN(IF($J54="",99999,$J54),IF($K54="",99999,$K54)))</f>
        <v/>
      </c>
      <c r="M54" s="16">
        <f>IF(AND($I54="",$J54=""),"",IF(OR(AND($I54&lt;&gt;"",N($I54)&lt;0),AND($J54&lt;&gt;"",N($J54)&lt;0)),"Overdue",IF(OR(AND($I54&lt;&gt;"",N($I54)&lt;=IFERROR(INDEX('Intervals'!$E$4:$E$33,MATCH($B54,'Intervals'!$A$4:$A$33,0)),500)),AND($J54&lt;&gt;"",N($J54)&lt;=IFERROR(INDEX('Intervals'!$F$4:$F$33,MATCH($B54,'Intervals'!$A$4:$A$33,0)),14))),"Due soon","OK")))</f>
        <v/>
      </c>
      <c r="N54" s="15" t="n"/>
      <c r="O54" s="22">
        <f>IF(OR($M54="",$M54="OK"),"",$L54+ROW()/100000)</f>
        <v/>
      </c>
    </row>
    <row r="55">
      <c r="A55" s="15" t="n"/>
      <c r="B55" s="15" t="n"/>
      <c r="C55" s="16">
        <f>IF($B55="","",IFERROR(INDEX('Intervals'!$B$4:$B$33,MATCH($B55,'Intervals'!$A$4:$A$33,0)),""))</f>
        <v/>
      </c>
      <c r="D55" s="17" t="n"/>
      <c r="E55" s="18" t="n"/>
      <c r="F55" s="19">
        <f>IF(OR($B55="",$E55=""),"",IFERROR(IF(AND(INDEX('Intervals'!$G$4:$G$33,MATCH($B55,'Intervals'!$A$4:$A$33,0))&lt;&gt;"No",N(INDEX('Intervals'!$C$4:$C$33,MATCH($B55,'Intervals'!$A$4:$A$33,0)))&gt;0),$E55+N(INDEX('Intervals'!$C$4:$C$33,MATCH($B55,'Intervals'!$A$4:$A$33,0))),""),""))</f>
        <v/>
      </c>
      <c r="G55" s="20">
        <f>IF(OR($B55="",$D55=""),"",IFERROR(IF(AND(INDEX('Intervals'!$G$4:$G$33,MATCH($B55,'Intervals'!$A$4:$A$33,0))&lt;&gt;"No",N(INDEX('Intervals'!$D$4:$D$33,MATCH($B55,'Intervals'!$A$4:$A$33,0)))&gt;0),EDATE($D55,N(INDEX('Intervals'!$D$4:$D$33,MATCH($B55,'Intervals'!$A$4:$A$33,0)))),""),""))</f>
        <v/>
      </c>
      <c r="H55" s="19">
        <f>IF($A55="","",IFERROR(IF(N(INDEX('Cars'!$H$4:$H$103,MATCH($A55,'Cars'!$A$4:$A$103,0)))&gt;0,INDEX('Cars'!$H$4:$H$103,MATCH($A55,'Cars'!$A$4:$A$103,0)),""),""))</f>
        <v/>
      </c>
      <c r="I55" s="19">
        <f>IF(OR($F55="",$H55=""),"",$F55-$H55)</f>
        <v/>
      </c>
      <c r="J55" s="21">
        <f>IF($G55="","",$G55-TODAY())</f>
        <v/>
      </c>
      <c r="K55" s="21">
        <f>IF($I55="","",IFERROR(IF(N(INDEX('Cars'!$J$4:$J$103,MATCH($A55,'Cars'!$A$4:$A$103,0)))&gt;0,ROUND($I55/INDEX('Cars'!$J$4:$J$103,MATCH($A55,'Cars'!$A$4:$A$103,0))*30,0),""),""))</f>
        <v/>
      </c>
      <c r="L55" s="21">
        <f>IF(AND($J55="",$K55=""),"",MIN(IF($J55="",99999,$J55),IF($K55="",99999,$K55)))</f>
        <v/>
      </c>
      <c r="M55" s="16">
        <f>IF(AND($I55="",$J55=""),"",IF(OR(AND($I55&lt;&gt;"",N($I55)&lt;0),AND($J55&lt;&gt;"",N($J55)&lt;0)),"Overdue",IF(OR(AND($I55&lt;&gt;"",N($I55)&lt;=IFERROR(INDEX('Intervals'!$E$4:$E$33,MATCH($B55,'Intervals'!$A$4:$A$33,0)),500)),AND($J55&lt;&gt;"",N($J55)&lt;=IFERROR(INDEX('Intervals'!$F$4:$F$33,MATCH($B55,'Intervals'!$A$4:$A$33,0)),14))),"Due soon","OK")))</f>
        <v/>
      </c>
      <c r="N55" s="15" t="n"/>
      <c r="O55" s="22">
        <f>IF(OR($M55="",$M55="OK"),"",$L55+ROW()/100000)</f>
        <v/>
      </c>
    </row>
    <row r="56">
      <c r="A56" s="15" t="n"/>
      <c r="B56" s="15" t="n"/>
      <c r="C56" s="16">
        <f>IF($B56="","",IFERROR(INDEX('Intervals'!$B$4:$B$33,MATCH($B56,'Intervals'!$A$4:$A$33,0)),""))</f>
        <v/>
      </c>
      <c r="D56" s="17" t="n"/>
      <c r="E56" s="18" t="n"/>
      <c r="F56" s="19">
        <f>IF(OR($B56="",$E56=""),"",IFERROR(IF(AND(INDEX('Intervals'!$G$4:$G$33,MATCH($B56,'Intervals'!$A$4:$A$33,0))&lt;&gt;"No",N(INDEX('Intervals'!$C$4:$C$33,MATCH($B56,'Intervals'!$A$4:$A$33,0)))&gt;0),$E56+N(INDEX('Intervals'!$C$4:$C$33,MATCH($B56,'Intervals'!$A$4:$A$33,0))),""),""))</f>
        <v/>
      </c>
      <c r="G56" s="20">
        <f>IF(OR($B56="",$D56=""),"",IFERROR(IF(AND(INDEX('Intervals'!$G$4:$G$33,MATCH($B56,'Intervals'!$A$4:$A$33,0))&lt;&gt;"No",N(INDEX('Intervals'!$D$4:$D$33,MATCH($B56,'Intervals'!$A$4:$A$33,0)))&gt;0),EDATE($D56,N(INDEX('Intervals'!$D$4:$D$33,MATCH($B56,'Intervals'!$A$4:$A$33,0)))),""),""))</f>
        <v/>
      </c>
      <c r="H56" s="19">
        <f>IF($A56="","",IFERROR(IF(N(INDEX('Cars'!$H$4:$H$103,MATCH($A56,'Cars'!$A$4:$A$103,0)))&gt;0,INDEX('Cars'!$H$4:$H$103,MATCH($A56,'Cars'!$A$4:$A$103,0)),""),""))</f>
        <v/>
      </c>
      <c r="I56" s="19">
        <f>IF(OR($F56="",$H56=""),"",$F56-$H56)</f>
        <v/>
      </c>
      <c r="J56" s="21">
        <f>IF($G56="","",$G56-TODAY())</f>
        <v/>
      </c>
      <c r="K56" s="21">
        <f>IF($I56="","",IFERROR(IF(N(INDEX('Cars'!$J$4:$J$103,MATCH($A56,'Cars'!$A$4:$A$103,0)))&gt;0,ROUND($I56/INDEX('Cars'!$J$4:$J$103,MATCH($A56,'Cars'!$A$4:$A$103,0))*30,0),""),""))</f>
        <v/>
      </c>
      <c r="L56" s="21">
        <f>IF(AND($J56="",$K56=""),"",MIN(IF($J56="",99999,$J56),IF($K56="",99999,$K56)))</f>
        <v/>
      </c>
      <c r="M56" s="16">
        <f>IF(AND($I56="",$J56=""),"",IF(OR(AND($I56&lt;&gt;"",N($I56)&lt;0),AND($J56&lt;&gt;"",N($J56)&lt;0)),"Overdue",IF(OR(AND($I56&lt;&gt;"",N($I56)&lt;=IFERROR(INDEX('Intervals'!$E$4:$E$33,MATCH($B56,'Intervals'!$A$4:$A$33,0)),500)),AND($J56&lt;&gt;"",N($J56)&lt;=IFERROR(INDEX('Intervals'!$F$4:$F$33,MATCH($B56,'Intervals'!$A$4:$A$33,0)),14))),"Due soon","OK")))</f>
        <v/>
      </c>
      <c r="N56" s="15" t="n"/>
      <c r="O56" s="22">
        <f>IF(OR($M56="",$M56="OK"),"",$L56+ROW()/100000)</f>
        <v/>
      </c>
    </row>
    <row r="57">
      <c r="A57" s="15" t="n"/>
      <c r="B57" s="15" t="n"/>
      <c r="C57" s="16">
        <f>IF($B57="","",IFERROR(INDEX('Intervals'!$B$4:$B$33,MATCH($B57,'Intervals'!$A$4:$A$33,0)),""))</f>
        <v/>
      </c>
      <c r="D57" s="17" t="n"/>
      <c r="E57" s="18" t="n"/>
      <c r="F57" s="19">
        <f>IF(OR($B57="",$E57=""),"",IFERROR(IF(AND(INDEX('Intervals'!$G$4:$G$33,MATCH($B57,'Intervals'!$A$4:$A$33,0))&lt;&gt;"No",N(INDEX('Intervals'!$C$4:$C$33,MATCH($B57,'Intervals'!$A$4:$A$33,0)))&gt;0),$E57+N(INDEX('Intervals'!$C$4:$C$33,MATCH($B57,'Intervals'!$A$4:$A$33,0))),""),""))</f>
        <v/>
      </c>
      <c r="G57" s="20">
        <f>IF(OR($B57="",$D57=""),"",IFERROR(IF(AND(INDEX('Intervals'!$G$4:$G$33,MATCH($B57,'Intervals'!$A$4:$A$33,0))&lt;&gt;"No",N(INDEX('Intervals'!$D$4:$D$33,MATCH($B57,'Intervals'!$A$4:$A$33,0)))&gt;0),EDATE($D57,N(INDEX('Intervals'!$D$4:$D$33,MATCH($B57,'Intervals'!$A$4:$A$33,0)))),""),""))</f>
        <v/>
      </c>
      <c r="H57" s="19">
        <f>IF($A57="","",IFERROR(IF(N(INDEX('Cars'!$H$4:$H$103,MATCH($A57,'Cars'!$A$4:$A$103,0)))&gt;0,INDEX('Cars'!$H$4:$H$103,MATCH($A57,'Cars'!$A$4:$A$103,0)),""),""))</f>
        <v/>
      </c>
      <c r="I57" s="19">
        <f>IF(OR($F57="",$H57=""),"",$F57-$H57)</f>
        <v/>
      </c>
      <c r="J57" s="21">
        <f>IF($G57="","",$G57-TODAY())</f>
        <v/>
      </c>
      <c r="K57" s="21">
        <f>IF($I57="","",IFERROR(IF(N(INDEX('Cars'!$J$4:$J$103,MATCH($A57,'Cars'!$A$4:$A$103,0)))&gt;0,ROUND($I57/INDEX('Cars'!$J$4:$J$103,MATCH($A57,'Cars'!$A$4:$A$103,0))*30,0),""),""))</f>
        <v/>
      </c>
      <c r="L57" s="21">
        <f>IF(AND($J57="",$K57=""),"",MIN(IF($J57="",99999,$J57),IF($K57="",99999,$K57)))</f>
        <v/>
      </c>
      <c r="M57" s="16">
        <f>IF(AND($I57="",$J57=""),"",IF(OR(AND($I57&lt;&gt;"",N($I57)&lt;0),AND($J57&lt;&gt;"",N($J57)&lt;0)),"Overdue",IF(OR(AND($I57&lt;&gt;"",N($I57)&lt;=IFERROR(INDEX('Intervals'!$E$4:$E$33,MATCH($B57,'Intervals'!$A$4:$A$33,0)),500)),AND($J57&lt;&gt;"",N($J57)&lt;=IFERROR(INDEX('Intervals'!$F$4:$F$33,MATCH($B57,'Intervals'!$A$4:$A$33,0)),14))),"Due soon","OK")))</f>
        <v/>
      </c>
      <c r="N57" s="15" t="n"/>
      <c r="O57" s="22">
        <f>IF(OR($M57="",$M57="OK"),"",$L57+ROW()/100000)</f>
        <v/>
      </c>
    </row>
    <row r="58">
      <c r="A58" s="15" t="n"/>
      <c r="B58" s="15" t="n"/>
      <c r="C58" s="16">
        <f>IF($B58="","",IFERROR(INDEX('Intervals'!$B$4:$B$33,MATCH($B58,'Intervals'!$A$4:$A$33,0)),""))</f>
        <v/>
      </c>
      <c r="D58" s="17" t="n"/>
      <c r="E58" s="18" t="n"/>
      <c r="F58" s="19">
        <f>IF(OR($B58="",$E58=""),"",IFERROR(IF(AND(INDEX('Intervals'!$G$4:$G$33,MATCH($B58,'Intervals'!$A$4:$A$33,0))&lt;&gt;"No",N(INDEX('Intervals'!$C$4:$C$33,MATCH($B58,'Intervals'!$A$4:$A$33,0)))&gt;0),$E58+N(INDEX('Intervals'!$C$4:$C$33,MATCH($B58,'Intervals'!$A$4:$A$33,0))),""),""))</f>
        <v/>
      </c>
      <c r="G58" s="20">
        <f>IF(OR($B58="",$D58=""),"",IFERROR(IF(AND(INDEX('Intervals'!$G$4:$G$33,MATCH($B58,'Intervals'!$A$4:$A$33,0))&lt;&gt;"No",N(INDEX('Intervals'!$D$4:$D$33,MATCH($B58,'Intervals'!$A$4:$A$33,0)))&gt;0),EDATE($D58,N(INDEX('Intervals'!$D$4:$D$33,MATCH($B58,'Intervals'!$A$4:$A$33,0)))),""),""))</f>
        <v/>
      </c>
      <c r="H58" s="19">
        <f>IF($A58="","",IFERROR(IF(N(INDEX('Cars'!$H$4:$H$103,MATCH($A58,'Cars'!$A$4:$A$103,0)))&gt;0,INDEX('Cars'!$H$4:$H$103,MATCH($A58,'Cars'!$A$4:$A$103,0)),""),""))</f>
        <v/>
      </c>
      <c r="I58" s="19">
        <f>IF(OR($F58="",$H58=""),"",$F58-$H58)</f>
        <v/>
      </c>
      <c r="J58" s="21">
        <f>IF($G58="","",$G58-TODAY())</f>
        <v/>
      </c>
      <c r="K58" s="21">
        <f>IF($I58="","",IFERROR(IF(N(INDEX('Cars'!$J$4:$J$103,MATCH($A58,'Cars'!$A$4:$A$103,0)))&gt;0,ROUND($I58/INDEX('Cars'!$J$4:$J$103,MATCH($A58,'Cars'!$A$4:$A$103,0))*30,0),""),""))</f>
        <v/>
      </c>
      <c r="L58" s="21">
        <f>IF(AND($J58="",$K58=""),"",MIN(IF($J58="",99999,$J58),IF($K58="",99999,$K58)))</f>
        <v/>
      </c>
      <c r="M58" s="16">
        <f>IF(AND($I58="",$J58=""),"",IF(OR(AND($I58&lt;&gt;"",N($I58)&lt;0),AND($J58&lt;&gt;"",N($J58)&lt;0)),"Overdue",IF(OR(AND($I58&lt;&gt;"",N($I58)&lt;=IFERROR(INDEX('Intervals'!$E$4:$E$33,MATCH($B58,'Intervals'!$A$4:$A$33,0)),500)),AND($J58&lt;&gt;"",N($J58)&lt;=IFERROR(INDEX('Intervals'!$F$4:$F$33,MATCH($B58,'Intervals'!$A$4:$A$33,0)),14))),"Due soon","OK")))</f>
        <v/>
      </c>
      <c r="N58" s="15" t="n"/>
      <c r="O58" s="22">
        <f>IF(OR($M58="",$M58="OK"),"",$L58+ROW()/100000)</f>
        <v/>
      </c>
    </row>
    <row r="59">
      <c r="A59" s="15" t="n"/>
      <c r="B59" s="15" t="n"/>
      <c r="C59" s="16">
        <f>IF($B59="","",IFERROR(INDEX('Intervals'!$B$4:$B$33,MATCH($B59,'Intervals'!$A$4:$A$33,0)),""))</f>
        <v/>
      </c>
      <c r="D59" s="17" t="n"/>
      <c r="E59" s="18" t="n"/>
      <c r="F59" s="19">
        <f>IF(OR($B59="",$E59=""),"",IFERROR(IF(AND(INDEX('Intervals'!$G$4:$G$33,MATCH($B59,'Intervals'!$A$4:$A$33,0))&lt;&gt;"No",N(INDEX('Intervals'!$C$4:$C$33,MATCH($B59,'Intervals'!$A$4:$A$33,0)))&gt;0),$E59+N(INDEX('Intervals'!$C$4:$C$33,MATCH($B59,'Intervals'!$A$4:$A$33,0))),""),""))</f>
        <v/>
      </c>
      <c r="G59" s="20">
        <f>IF(OR($B59="",$D59=""),"",IFERROR(IF(AND(INDEX('Intervals'!$G$4:$G$33,MATCH($B59,'Intervals'!$A$4:$A$33,0))&lt;&gt;"No",N(INDEX('Intervals'!$D$4:$D$33,MATCH($B59,'Intervals'!$A$4:$A$33,0)))&gt;0),EDATE($D59,N(INDEX('Intervals'!$D$4:$D$33,MATCH($B59,'Intervals'!$A$4:$A$33,0)))),""),""))</f>
        <v/>
      </c>
      <c r="H59" s="19">
        <f>IF($A59="","",IFERROR(IF(N(INDEX('Cars'!$H$4:$H$103,MATCH($A59,'Cars'!$A$4:$A$103,0)))&gt;0,INDEX('Cars'!$H$4:$H$103,MATCH($A59,'Cars'!$A$4:$A$103,0)),""),""))</f>
        <v/>
      </c>
      <c r="I59" s="19">
        <f>IF(OR($F59="",$H59=""),"",$F59-$H59)</f>
        <v/>
      </c>
      <c r="J59" s="21">
        <f>IF($G59="","",$G59-TODAY())</f>
        <v/>
      </c>
      <c r="K59" s="21">
        <f>IF($I59="","",IFERROR(IF(N(INDEX('Cars'!$J$4:$J$103,MATCH($A59,'Cars'!$A$4:$A$103,0)))&gt;0,ROUND($I59/INDEX('Cars'!$J$4:$J$103,MATCH($A59,'Cars'!$A$4:$A$103,0))*30,0),""),""))</f>
        <v/>
      </c>
      <c r="L59" s="21">
        <f>IF(AND($J59="",$K59=""),"",MIN(IF($J59="",99999,$J59),IF($K59="",99999,$K59)))</f>
        <v/>
      </c>
      <c r="M59" s="16">
        <f>IF(AND($I59="",$J59=""),"",IF(OR(AND($I59&lt;&gt;"",N($I59)&lt;0),AND($J59&lt;&gt;"",N($J59)&lt;0)),"Overdue",IF(OR(AND($I59&lt;&gt;"",N($I59)&lt;=IFERROR(INDEX('Intervals'!$E$4:$E$33,MATCH($B59,'Intervals'!$A$4:$A$33,0)),500)),AND($J59&lt;&gt;"",N($J59)&lt;=IFERROR(INDEX('Intervals'!$F$4:$F$33,MATCH($B59,'Intervals'!$A$4:$A$33,0)),14))),"Due soon","OK")))</f>
        <v/>
      </c>
      <c r="N59" s="15" t="n"/>
      <c r="O59" s="22">
        <f>IF(OR($M59="",$M59="OK"),"",$L59+ROW()/100000)</f>
        <v/>
      </c>
    </row>
    <row r="60">
      <c r="A60" s="15" t="n"/>
      <c r="B60" s="15" t="n"/>
      <c r="C60" s="16">
        <f>IF($B60="","",IFERROR(INDEX('Intervals'!$B$4:$B$33,MATCH($B60,'Intervals'!$A$4:$A$33,0)),""))</f>
        <v/>
      </c>
      <c r="D60" s="17" t="n"/>
      <c r="E60" s="18" t="n"/>
      <c r="F60" s="19">
        <f>IF(OR($B60="",$E60=""),"",IFERROR(IF(AND(INDEX('Intervals'!$G$4:$G$33,MATCH($B60,'Intervals'!$A$4:$A$33,0))&lt;&gt;"No",N(INDEX('Intervals'!$C$4:$C$33,MATCH($B60,'Intervals'!$A$4:$A$33,0)))&gt;0),$E60+N(INDEX('Intervals'!$C$4:$C$33,MATCH($B60,'Intervals'!$A$4:$A$33,0))),""),""))</f>
        <v/>
      </c>
      <c r="G60" s="20">
        <f>IF(OR($B60="",$D60=""),"",IFERROR(IF(AND(INDEX('Intervals'!$G$4:$G$33,MATCH($B60,'Intervals'!$A$4:$A$33,0))&lt;&gt;"No",N(INDEX('Intervals'!$D$4:$D$33,MATCH($B60,'Intervals'!$A$4:$A$33,0)))&gt;0),EDATE($D60,N(INDEX('Intervals'!$D$4:$D$33,MATCH($B60,'Intervals'!$A$4:$A$33,0)))),""),""))</f>
        <v/>
      </c>
      <c r="H60" s="19">
        <f>IF($A60="","",IFERROR(IF(N(INDEX('Cars'!$H$4:$H$103,MATCH($A60,'Cars'!$A$4:$A$103,0)))&gt;0,INDEX('Cars'!$H$4:$H$103,MATCH($A60,'Cars'!$A$4:$A$103,0)),""),""))</f>
        <v/>
      </c>
      <c r="I60" s="19">
        <f>IF(OR($F60="",$H60=""),"",$F60-$H60)</f>
        <v/>
      </c>
      <c r="J60" s="21">
        <f>IF($G60="","",$G60-TODAY())</f>
        <v/>
      </c>
      <c r="K60" s="21">
        <f>IF($I60="","",IFERROR(IF(N(INDEX('Cars'!$J$4:$J$103,MATCH($A60,'Cars'!$A$4:$A$103,0)))&gt;0,ROUND($I60/INDEX('Cars'!$J$4:$J$103,MATCH($A60,'Cars'!$A$4:$A$103,0))*30,0),""),""))</f>
        <v/>
      </c>
      <c r="L60" s="21">
        <f>IF(AND($J60="",$K60=""),"",MIN(IF($J60="",99999,$J60),IF($K60="",99999,$K60)))</f>
        <v/>
      </c>
      <c r="M60" s="16">
        <f>IF(AND($I60="",$J60=""),"",IF(OR(AND($I60&lt;&gt;"",N($I60)&lt;0),AND($J60&lt;&gt;"",N($J60)&lt;0)),"Overdue",IF(OR(AND($I60&lt;&gt;"",N($I60)&lt;=IFERROR(INDEX('Intervals'!$E$4:$E$33,MATCH($B60,'Intervals'!$A$4:$A$33,0)),500)),AND($J60&lt;&gt;"",N($J60)&lt;=IFERROR(INDEX('Intervals'!$F$4:$F$33,MATCH($B60,'Intervals'!$A$4:$A$33,0)),14))),"Due soon","OK")))</f>
        <v/>
      </c>
      <c r="N60" s="15" t="n"/>
      <c r="O60" s="22">
        <f>IF(OR($M60="",$M60="OK"),"",$L60+ROW()/100000)</f>
        <v/>
      </c>
    </row>
    <row r="61">
      <c r="A61" s="15" t="n"/>
      <c r="B61" s="15" t="n"/>
      <c r="C61" s="16">
        <f>IF($B61="","",IFERROR(INDEX('Intervals'!$B$4:$B$33,MATCH($B61,'Intervals'!$A$4:$A$33,0)),""))</f>
        <v/>
      </c>
      <c r="D61" s="17" t="n"/>
      <c r="E61" s="18" t="n"/>
      <c r="F61" s="19">
        <f>IF(OR($B61="",$E61=""),"",IFERROR(IF(AND(INDEX('Intervals'!$G$4:$G$33,MATCH($B61,'Intervals'!$A$4:$A$33,0))&lt;&gt;"No",N(INDEX('Intervals'!$C$4:$C$33,MATCH($B61,'Intervals'!$A$4:$A$33,0)))&gt;0),$E61+N(INDEX('Intervals'!$C$4:$C$33,MATCH($B61,'Intervals'!$A$4:$A$33,0))),""),""))</f>
        <v/>
      </c>
      <c r="G61" s="20">
        <f>IF(OR($B61="",$D61=""),"",IFERROR(IF(AND(INDEX('Intervals'!$G$4:$G$33,MATCH($B61,'Intervals'!$A$4:$A$33,0))&lt;&gt;"No",N(INDEX('Intervals'!$D$4:$D$33,MATCH($B61,'Intervals'!$A$4:$A$33,0)))&gt;0),EDATE($D61,N(INDEX('Intervals'!$D$4:$D$33,MATCH($B61,'Intervals'!$A$4:$A$33,0)))),""),""))</f>
        <v/>
      </c>
      <c r="H61" s="19">
        <f>IF($A61="","",IFERROR(IF(N(INDEX('Cars'!$H$4:$H$103,MATCH($A61,'Cars'!$A$4:$A$103,0)))&gt;0,INDEX('Cars'!$H$4:$H$103,MATCH($A61,'Cars'!$A$4:$A$103,0)),""),""))</f>
        <v/>
      </c>
      <c r="I61" s="19">
        <f>IF(OR($F61="",$H61=""),"",$F61-$H61)</f>
        <v/>
      </c>
      <c r="J61" s="21">
        <f>IF($G61="","",$G61-TODAY())</f>
        <v/>
      </c>
      <c r="K61" s="21">
        <f>IF($I61="","",IFERROR(IF(N(INDEX('Cars'!$J$4:$J$103,MATCH($A61,'Cars'!$A$4:$A$103,0)))&gt;0,ROUND($I61/INDEX('Cars'!$J$4:$J$103,MATCH($A61,'Cars'!$A$4:$A$103,0))*30,0),""),""))</f>
        <v/>
      </c>
      <c r="L61" s="21">
        <f>IF(AND($J61="",$K61=""),"",MIN(IF($J61="",99999,$J61),IF($K61="",99999,$K61)))</f>
        <v/>
      </c>
      <c r="M61" s="16">
        <f>IF(AND($I61="",$J61=""),"",IF(OR(AND($I61&lt;&gt;"",N($I61)&lt;0),AND($J61&lt;&gt;"",N($J61)&lt;0)),"Overdue",IF(OR(AND($I61&lt;&gt;"",N($I61)&lt;=IFERROR(INDEX('Intervals'!$E$4:$E$33,MATCH($B61,'Intervals'!$A$4:$A$33,0)),500)),AND($J61&lt;&gt;"",N($J61)&lt;=IFERROR(INDEX('Intervals'!$F$4:$F$33,MATCH($B61,'Intervals'!$A$4:$A$33,0)),14))),"Due soon","OK")))</f>
        <v/>
      </c>
      <c r="N61" s="15" t="n"/>
      <c r="O61" s="22">
        <f>IF(OR($M61="",$M61="OK"),"",$L61+ROW()/100000)</f>
        <v/>
      </c>
    </row>
    <row r="62">
      <c r="A62" s="15" t="n"/>
      <c r="B62" s="15" t="n"/>
      <c r="C62" s="16">
        <f>IF($B62="","",IFERROR(INDEX('Intervals'!$B$4:$B$33,MATCH($B62,'Intervals'!$A$4:$A$33,0)),""))</f>
        <v/>
      </c>
      <c r="D62" s="17" t="n"/>
      <c r="E62" s="18" t="n"/>
      <c r="F62" s="19">
        <f>IF(OR($B62="",$E62=""),"",IFERROR(IF(AND(INDEX('Intervals'!$G$4:$G$33,MATCH($B62,'Intervals'!$A$4:$A$33,0))&lt;&gt;"No",N(INDEX('Intervals'!$C$4:$C$33,MATCH($B62,'Intervals'!$A$4:$A$33,0)))&gt;0),$E62+N(INDEX('Intervals'!$C$4:$C$33,MATCH($B62,'Intervals'!$A$4:$A$33,0))),""),""))</f>
        <v/>
      </c>
      <c r="G62" s="20">
        <f>IF(OR($B62="",$D62=""),"",IFERROR(IF(AND(INDEX('Intervals'!$G$4:$G$33,MATCH($B62,'Intervals'!$A$4:$A$33,0))&lt;&gt;"No",N(INDEX('Intervals'!$D$4:$D$33,MATCH($B62,'Intervals'!$A$4:$A$33,0)))&gt;0),EDATE($D62,N(INDEX('Intervals'!$D$4:$D$33,MATCH($B62,'Intervals'!$A$4:$A$33,0)))),""),""))</f>
        <v/>
      </c>
      <c r="H62" s="19">
        <f>IF($A62="","",IFERROR(IF(N(INDEX('Cars'!$H$4:$H$103,MATCH($A62,'Cars'!$A$4:$A$103,0)))&gt;0,INDEX('Cars'!$H$4:$H$103,MATCH($A62,'Cars'!$A$4:$A$103,0)),""),""))</f>
        <v/>
      </c>
      <c r="I62" s="19">
        <f>IF(OR($F62="",$H62=""),"",$F62-$H62)</f>
        <v/>
      </c>
      <c r="J62" s="21">
        <f>IF($G62="","",$G62-TODAY())</f>
        <v/>
      </c>
      <c r="K62" s="21">
        <f>IF($I62="","",IFERROR(IF(N(INDEX('Cars'!$J$4:$J$103,MATCH($A62,'Cars'!$A$4:$A$103,0)))&gt;0,ROUND($I62/INDEX('Cars'!$J$4:$J$103,MATCH($A62,'Cars'!$A$4:$A$103,0))*30,0),""),""))</f>
        <v/>
      </c>
      <c r="L62" s="21">
        <f>IF(AND($J62="",$K62=""),"",MIN(IF($J62="",99999,$J62),IF($K62="",99999,$K62)))</f>
        <v/>
      </c>
      <c r="M62" s="16">
        <f>IF(AND($I62="",$J62=""),"",IF(OR(AND($I62&lt;&gt;"",N($I62)&lt;0),AND($J62&lt;&gt;"",N($J62)&lt;0)),"Overdue",IF(OR(AND($I62&lt;&gt;"",N($I62)&lt;=IFERROR(INDEX('Intervals'!$E$4:$E$33,MATCH($B62,'Intervals'!$A$4:$A$33,0)),500)),AND($J62&lt;&gt;"",N($J62)&lt;=IFERROR(INDEX('Intervals'!$F$4:$F$33,MATCH($B62,'Intervals'!$A$4:$A$33,0)),14))),"Due soon","OK")))</f>
        <v/>
      </c>
      <c r="N62" s="15" t="n"/>
      <c r="O62" s="22">
        <f>IF(OR($M62="",$M62="OK"),"",$L62+ROW()/100000)</f>
        <v/>
      </c>
    </row>
    <row r="63">
      <c r="A63" s="15" t="n"/>
      <c r="B63" s="15" t="n"/>
      <c r="C63" s="16">
        <f>IF($B63="","",IFERROR(INDEX('Intervals'!$B$4:$B$33,MATCH($B63,'Intervals'!$A$4:$A$33,0)),""))</f>
        <v/>
      </c>
      <c r="D63" s="17" t="n"/>
      <c r="E63" s="18" t="n"/>
      <c r="F63" s="19">
        <f>IF(OR($B63="",$E63=""),"",IFERROR(IF(AND(INDEX('Intervals'!$G$4:$G$33,MATCH($B63,'Intervals'!$A$4:$A$33,0))&lt;&gt;"No",N(INDEX('Intervals'!$C$4:$C$33,MATCH($B63,'Intervals'!$A$4:$A$33,0)))&gt;0),$E63+N(INDEX('Intervals'!$C$4:$C$33,MATCH($B63,'Intervals'!$A$4:$A$33,0))),""),""))</f>
        <v/>
      </c>
      <c r="G63" s="20">
        <f>IF(OR($B63="",$D63=""),"",IFERROR(IF(AND(INDEX('Intervals'!$G$4:$G$33,MATCH($B63,'Intervals'!$A$4:$A$33,0))&lt;&gt;"No",N(INDEX('Intervals'!$D$4:$D$33,MATCH($B63,'Intervals'!$A$4:$A$33,0)))&gt;0),EDATE($D63,N(INDEX('Intervals'!$D$4:$D$33,MATCH($B63,'Intervals'!$A$4:$A$33,0)))),""),""))</f>
        <v/>
      </c>
      <c r="H63" s="19">
        <f>IF($A63="","",IFERROR(IF(N(INDEX('Cars'!$H$4:$H$103,MATCH($A63,'Cars'!$A$4:$A$103,0)))&gt;0,INDEX('Cars'!$H$4:$H$103,MATCH($A63,'Cars'!$A$4:$A$103,0)),""),""))</f>
        <v/>
      </c>
      <c r="I63" s="19">
        <f>IF(OR($F63="",$H63=""),"",$F63-$H63)</f>
        <v/>
      </c>
      <c r="J63" s="21">
        <f>IF($G63="","",$G63-TODAY())</f>
        <v/>
      </c>
      <c r="K63" s="21">
        <f>IF($I63="","",IFERROR(IF(N(INDEX('Cars'!$J$4:$J$103,MATCH($A63,'Cars'!$A$4:$A$103,0)))&gt;0,ROUND($I63/INDEX('Cars'!$J$4:$J$103,MATCH($A63,'Cars'!$A$4:$A$103,0))*30,0),""),""))</f>
        <v/>
      </c>
      <c r="L63" s="21">
        <f>IF(AND($J63="",$K63=""),"",MIN(IF($J63="",99999,$J63),IF($K63="",99999,$K63)))</f>
        <v/>
      </c>
      <c r="M63" s="16">
        <f>IF(AND($I63="",$J63=""),"",IF(OR(AND($I63&lt;&gt;"",N($I63)&lt;0),AND($J63&lt;&gt;"",N($J63)&lt;0)),"Overdue",IF(OR(AND($I63&lt;&gt;"",N($I63)&lt;=IFERROR(INDEX('Intervals'!$E$4:$E$33,MATCH($B63,'Intervals'!$A$4:$A$33,0)),500)),AND($J63&lt;&gt;"",N($J63)&lt;=IFERROR(INDEX('Intervals'!$F$4:$F$33,MATCH($B63,'Intervals'!$A$4:$A$33,0)),14))),"Due soon","OK")))</f>
        <v/>
      </c>
      <c r="N63" s="15" t="n"/>
      <c r="O63" s="22">
        <f>IF(OR($M63="",$M63="OK"),"",$L63+ROW()/100000)</f>
        <v/>
      </c>
    </row>
    <row r="64">
      <c r="A64" s="15" t="n"/>
      <c r="B64" s="15" t="n"/>
      <c r="C64" s="16">
        <f>IF($B64="","",IFERROR(INDEX('Intervals'!$B$4:$B$33,MATCH($B64,'Intervals'!$A$4:$A$33,0)),""))</f>
        <v/>
      </c>
      <c r="D64" s="17" t="n"/>
      <c r="E64" s="18" t="n"/>
      <c r="F64" s="19">
        <f>IF(OR($B64="",$E64=""),"",IFERROR(IF(AND(INDEX('Intervals'!$G$4:$G$33,MATCH($B64,'Intervals'!$A$4:$A$33,0))&lt;&gt;"No",N(INDEX('Intervals'!$C$4:$C$33,MATCH($B64,'Intervals'!$A$4:$A$33,0)))&gt;0),$E64+N(INDEX('Intervals'!$C$4:$C$33,MATCH($B64,'Intervals'!$A$4:$A$33,0))),""),""))</f>
        <v/>
      </c>
      <c r="G64" s="20">
        <f>IF(OR($B64="",$D64=""),"",IFERROR(IF(AND(INDEX('Intervals'!$G$4:$G$33,MATCH($B64,'Intervals'!$A$4:$A$33,0))&lt;&gt;"No",N(INDEX('Intervals'!$D$4:$D$33,MATCH($B64,'Intervals'!$A$4:$A$33,0)))&gt;0),EDATE($D64,N(INDEX('Intervals'!$D$4:$D$33,MATCH($B64,'Intervals'!$A$4:$A$33,0)))),""),""))</f>
        <v/>
      </c>
      <c r="H64" s="19">
        <f>IF($A64="","",IFERROR(IF(N(INDEX('Cars'!$H$4:$H$103,MATCH($A64,'Cars'!$A$4:$A$103,0)))&gt;0,INDEX('Cars'!$H$4:$H$103,MATCH($A64,'Cars'!$A$4:$A$103,0)),""),""))</f>
        <v/>
      </c>
      <c r="I64" s="19">
        <f>IF(OR($F64="",$H64=""),"",$F64-$H64)</f>
        <v/>
      </c>
      <c r="J64" s="21">
        <f>IF($G64="","",$G64-TODAY())</f>
        <v/>
      </c>
      <c r="K64" s="21">
        <f>IF($I64="","",IFERROR(IF(N(INDEX('Cars'!$J$4:$J$103,MATCH($A64,'Cars'!$A$4:$A$103,0)))&gt;0,ROUND($I64/INDEX('Cars'!$J$4:$J$103,MATCH($A64,'Cars'!$A$4:$A$103,0))*30,0),""),""))</f>
        <v/>
      </c>
      <c r="L64" s="21">
        <f>IF(AND($J64="",$K64=""),"",MIN(IF($J64="",99999,$J64),IF($K64="",99999,$K64)))</f>
        <v/>
      </c>
      <c r="M64" s="16">
        <f>IF(AND($I64="",$J64=""),"",IF(OR(AND($I64&lt;&gt;"",N($I64)&lt;0),AND($J64&lt;&gt;"",N($J64)&lt;0)),"Overdue",IF(OR(AND($I64&lt;&gt;"",N($I64)&lt;=IFERROR(INDEX('Intervals'!$E$4:$E$33,MATCH($B64,'Intervals'!$A$4:$A$33,0)),500)),AND($J64&lt;&gt;"",N($J64)&lt;=IFERROR(INDEX('Intervals'!$F$4:$F$33,MATCH($B64,'Intervals'!$A$4:$A$33,0)),14))),"Due soon","OK")))</f>
        <v/>
      </c>
      <c r="N64" s="15" t="n"/>
      <c r="O64" s="22">
        <f>IF(OR($M64="",$M64="OK"),"",$L64+ROW()/100000)</f>
        <v/>
      </c>
    </row>
    <row r="65">
      <c r="A65" s="15" t="n"/>
      <c r="B65" s="15" t="n"/>
      <c r="C65" s="16">
        <f>IF($B65="","",IFERROR(INDEX('Intervals'!$B$4:$B$33,MATCH($B65,'Intervals'!$A$4:$A$33,0)),""))</f>
        <v/>
      </c>
      <c r="D65" s="17" t="n"/>
      <c r="E65" s="18" t="n"/>
      <c r="F65" s="19">
        <f>IF(OR($B65="",$E65=""),"",IFERROR(IF(AND(INDEX('Intervals'!$G$4:$G$33,MATCH($B65,'Intervals'!$A$4:$A$33,0))&lt;&gt;"No",N(INDEX('Intervals'!$C$4:$C$33,MATCH($B65,'Intervals'!$A$4:$A$33,0)))&gt;0),$E65+N(INDEX('Intervals'!$C$4:$C$33,MATCH($B65,'Intervals'!$A$4:$A$33,0))),""),""))</f>
        <v/>
      </c>
      <c r="G65" s="20">
        <f>IF(OR($B65="",$D65=""),"",IFERROR(IF(AND(INDEX('Intervals'!$G$4:$G$33,MATCH($B65,'Intervals'!$A$4:$A$33,0))&lt;&gt;"No",N(INDEX('Intervals'!$D$4:$D$33,MATCH($B65,'Intervals'!$A$4:$A$33,0)))&gt;0),EDATE($D65,N(INDEX('Intervals'!$D$4:$D$33,MATCH($B65,'Intervals'!$A$4:$A$33,0)))),""),""))</f>
        <v/>
      </c>
      <c r="H65" s="19">
        <f>IF($A65="","",IFERROR(IF(N(INDEX('Cars'!$H$4:$H$103,MATCH($A65,'Cars'!$A$4:$A$103,0)))&gt;0,INDEX('Cars'!$H$4:$H$103,MATCH($A65,'Cars'!$A$4:$A$103,0)),""),""))</f>
        <v/>
      </c>
      <c r="I65" s="19">
        <f>IF(OR($F65="",$H65=""),"",$F65-$H65)</f>
        <v/>
      </c>
      <c r="J65" s="21">
        <f>IF($G65="","",$G65-TODAY())</f>
        <v/>
      </c>
      <c r="K65" s="21">
        <f>IF($I65="","",IFERROR(IF(N(INDEX('Cars'!$J$4:$J$103,MATCH($A65,'Cars'!$A$4:$A$103,0)))&gt;0,ROUND($I65/INDEX('Cars'!$J$4:$J$103,MATCH($A65,'Cars'!$A$4:$A$103,0))*30,0),""),""))</f>
        <v/>
      </c>
      <c r="L65" s="21">
        <f>IF(AND($J65="",$K65=""),"",MIN(IF($J65="",99999,$J65),IF($K65="",99999,$K65)))</f>
        <v/>
      </c>
      <c r="M65" s="16">
        <f>IF(AND($I65="",$J65=""),"",IF(OR(AND($I65&lt;&gt;"",N($I65)&lt;0),AND($J65&lt;&gt;"",N($J65)&lt;0)),"Overdue",IF(OR(AND($I65&lt;&gt;"",N($I65)&lt;=IFERROR(INDEX('Intervals'!$E$4:$E$33,MATCH($B65,'Intervals'!$A$4:$A$33,0)),500)),AND($J65&lt;&gt;"",N($J65)&lt;=IFERROR(INDEX('Intervals'!$F$4:$F$33,MATCH($B65,'Intervals'!$A$4:$A$33,0)),14))),"Due soon","OK")))</f>
        <v/>
      </c>
      <c r="N65" s="15" t="n"/>
      <c r="O65" s="22">
        <f>IF(OR($M65="",$M65="OK"),"",$L65+ROW()/100000)</f>
        <v/>
      </c>
    </row>
    <row r="66">
      <c r="A66" s="15" t="n"/>
      <c r="B66" s="15" t="n"/>
      <c r="C66" s="16">
        <f>IF($B66="","",IFERROR(INDEX('Intervals'!$B$4:$B$33,MATCH($B66,'Intervals'!$A$4:$A$33,0)),""))</f>
        <v/>
      </c>
      <c r="D66" s="17" t="n"/>
      <c r="E66" s="18" t="n"/>
      <c r="F66" s="19">
        <f>IF(OR($B66="",$E66=""),"",IFERROR(IF(AND(INDEX('Intervals'!$G$4:$G$33,MATCH($B66,'Intervals'!$A$4:$A$33,0))&lt;&gt;"No",N(INDEX('Intervals'!$C$4:$C$33,MATCH($B66,'Intervals'!$A$4:$A$33,0)))&gt;0),$E66+N(INDEX('Intervals'!$C$4:$C$33,MATCH($B66,'Intervals'!$A$4:$A$33,0))),""),""))</f>
        <v/>
      </c>
      <c r="G66" s="20">
        <f>IF(OR($B66="",$D66=""),"",IFERROR(IF(AND(INDEX('Intervals'!$G$4:$G$33,MATCH($B66,'Intervals'!$A$4:$A$33,0))&lt;&gt;"No",N(INDEX('Intervals'!$D$4:$D$33,MATCH($B66,'Intervals'!$A$4:$A$33,0)))&gt;0),EDATE($D66,N(INDEX('Intervals'!$D$4:$D$33,MATCH($B66,'Intervals'!$A$4:$A$33,0)))),""),""))</f>
        <v/>
      </c>
      <c r="H66" s="19">
        <f>IF($A66="","",IFERROR(IF(N(INDEX('Cars'!$H$4:$H$103,MATCH($A66,'Cars'!$A$4:$A$103,0)))&gt;0,INDEX('Cars'!$H$4:$H$103,MATCH($A66,'Cars'!$A$4:$A$103,0)),""),""))</f>
        <v/>
      </c>
      <c r="I66" s="19">
        <f>IF(OR($F66="",$H66=""),"",$F66-$H66)</f>
        <v/>
      </c>
      <c r="J66" s="21">
        <f>IF($G66="","",$G66-TODAY())</f>
        <v/>
      </c>
      <c r="K66" s="21">
        <f>IF($I66="","",IFERROR(IF(N(INDEX('Cars'!$J$4:$J$103,MATCH($A66,'Cars'!$A$4:$A$103,0)))&gt;0,ROUND($I66/INDEX('Cars'!$J$4:$J$103,MATCH($A66,'Cars'!$A$4:$A$103,0))*30,0),""),""))</f>
        <v/>
      </c>
      <c r="L66" s="21">
        <f>IF(AND($J66="",$K66=""),"",MIN(IF($J66="",99999,$J66),IF($K66="",99999,$K66)))</f>
        <v/>
      </c>
      <c r="M66" s="16">
        <f>IF(AND($I66="",$J66=""),"",IF(OR(AND($I66&lt;&gt;"",N($I66)&lt;0),AND($J66&lt;&gt;"",N($J66)&lt;0)),"Overdue",IF(OR(AND($I66&lt;&gt;"",N($I66)&lt;=IFERROR(INDEX('Intervals'!$E$4:$E$33,MATCH($B66,'Intervals'!$A$4:$A$33,0)),500)),AND($J66&lt;&gt;"",N($J66)&lt;=IFERROR(INDEX('Intervals'!$F$4:$F$33,MATCH($B66,'Intervals'!$A$4:$A$33,0)),14))),"Due soon","OK")))</f>
        <v/>
      </c>
      <c r="N66" s="15" t="n"/>
      <c r="O66" s="22">
        <f>IF(OR($M66="",$M66="OK"),"",$L66+ROW()/100000)</f>
        <v/>
      </c>
    </row>
    <row r="67">
      <c r="A67" s="15" t="n"/>
      <c r="B67" s="15" t="n"/>
      <c r="C67" s="16">
        <f>IF($B67="","",IFERROR(INDEX('Intervals'!$B$4:$B$33,MATCH($B67,'Intervals'!$A$4:$A$33,0)),""))</f>
        <v/>
      </c>
      <c r="D67" s="17" t="n"/>
      <c r="E67" s="18" t="n"/>
      <c r="F67" s="19">
        <f>IF(OR($B67="",$E67=""),"",IFERROR(IF(AND(INDEX('Intervals'!$G$4:$G$33,MATCH($B67,'Intervals'!$A$4:$A$33,0))&lt;&gt;"No",N(INDEX('Intervals'!$C$4:$C$33,MATCH($B67,'Intervals'!$A$4:$A$33,0)))&gt;0),$E67+N(INDEX('Intervals'!$C$4:$C$33,MATCH($B67,'Intervals'!$A$4:$A$33,0))),""),""))</f>
        <v/>
      </c>
      <c r="G67" s="20">
        <f>IF(OR($B67="",$D67=""),"",IFERROR(IF(AND(INDEX('Intervals'!$G$4:$G$33,MATCH($B67,'Intervals'!$A$4:$A$33,0))&lt;&gt;"No",N(INDEX('Intervals'!$D$4:$D$33,MATCH($B67,'Intervals'!$A$4:$A$33,0)))&gt;0),EDATE($D67,N(INDEX('Intervals'!$D$4:$D$33,MATCH($B67,'Intervals'!$A$4:$A$33,0)))),""),""))</f>
        <v/>
      </c>
      <c r="H67" s="19">
        <f>IF($A67="","",IFERROR(IF(N(INDEX('Cars'!$H$4:$H$103,MATCH($A67,'Cars'!$A$4:$A$103,0)))&gt;0,INDEX('Cars'!$H$4:$H$103,MATCH($A67,'Cars'!$A$4:$A$103,0)),""),""))</f>
        <v/>
      </c>
      <c r="I67" s="19">
        <f>IF(OR($F67="",$H67=""),"",$F67-$H67)</f>
        <v/>
      </c>
      <c r="J67" s="21">
        <f>IF($G67="","",$G67-TODAY())</f>
        <v/>
      </c>
      <c r="K67" s="21">
        <f>IF($I67="","",IFERROR(IF(N(INDEX('Cars'!$J$4:$J$103,MATCH($A67,'Cars'!$A$4:$A$103,0)))&gt;0,ROUND($I67/INDEX('Cars'!$J$4:$J$103,MATCH($A67,'Cars'!$A$4:$A$103,0))*30,0),""),""))</f>
        <v/>
      </c>
      <c r="L67" s="21">
        <f>IF(AND($J67="",$K67=""),"",MIN(IF($J67="",99999,$J67),IF($K67="",99999,$K67)))</f>
        <v/>
      </c>
      <c r="M67" s="16">
        <f>IF(AND($I67="",$J67=""),"",IF(OR(AND($I67&lt;&gt;"",N($I67)&lt;0),AND($J67&lt;&gt;"",N($J67)&lt;0)),"Overdue",IF(OR(AND($I67&lt;&gt;"",N($I67)&lt;=IFERROR(INDEX('Intervals'!$E$4:$E$33,MATCH($B67,'Intervals'!$A$4:$A$33,0)),500)),AND($J67&lt;&gt;"",N($J67)&lt;=IFERROR(INDEX('Intervals'!$F$4:$F$33,MATCH($B67,'Intervals'!$A$4:$A$33,0)),14))),"Due soon","OK")))</f>
        <v/>
      </c>
      <c r="N67" s="15" t="n"/>
      <c r="O67" s="22">
        <f>IF(OR($M67="",$M67="OK"),"",$L67+ROW()/100000)</f>
        <v/>
      </c>
    </row>
    <row r="68">
      <c r="A68" s="15" t="n"/>
      <c r="B68" s="15" t="n"/>
      <c r="C68" s="16">
        <f>IF($B68="","",IFERROR(INDEX('Intervals'!$B$4:$B$33,MATCH($B68,'Intervals'!$A$4:$A$33,0)),""))</f>
        <v/>
      </c>
      <c r="D68" s="17" t="n"/>
      <c r="E68" s="18" t="n"/>
      <c r="F68" s="19">
        <f>IF(OR($B68="",$E68=""),"",IFERROR(IF(AND(INDEX('Intervals'!$G$4:$G$33,MATCH($B68,'Intervals'!$A$4:$A$33,0))&lt;&gt;"No",N(INDEX('Intervals'!$C$4:$C$33,MATCH($B68,'Intervals'!$A$4:$A$33,0)))&gt;0),$E68+N(INDEX('Intervals'!$C$4:$C$33,MATCH($B68,'Intervals'!$A$4:$A$33,0))),""),""))</f>
        <v/>
      </c>
      <c r="G68" s="20">
        <f>IF(OR($B68="",$D68=""),"",IFERROR(IF(AND(INDEX('Intervals'!$G$4:$G$33,MATCH($B68,'Intervals'!$A$4:$A$33,0))&lt;&gt;"No",N(INDEX('Intervals'!$D$4:$D$33,MATCH($B68,'Intervals'!$A$4:$A$33,0)))&gt;0),EDATE($D68,N(INDEX('Intervals'!$D$4:$D$33,MATCH($B68,'Intervals'!$A$4:$A$33,0)))),""),""))</f>
        <v/>
      </c>
      <c r="H68" s="19">
        <f>IF($A68="","",IFERROR(IF(N(INDEX('Cars'!$H$4:$H$103,MATCH($A68,'Cars'!$A$4:$A$103,0)))&gt;0,INDEX('Cars'!$H$4:$H$103,MATCH($A68,'Cars'!$A$4:$A$103,0)),""),""))</f>
        <v/>
      </c>
      <c r="I68" s="19">
        <f>IF(OR($F68="",$H68=""),"",$F68-$H68)</f>
        <v/>
      </c>
      <c r="J68" s="21">
        <f>IF($G68="","",$G68-TODAY())</f>
        <v/>
      </c>
      <c r="K68" s="21">
        <f>IF($I68="","",IFERROR(IF(N(INDEX('Cars'!$J$4:$J$103,MATCH($A68,'Cars'!$A$4:$A$103,0)))&gt;0,ROUND($I68/INDEX('Cars'!$J$4:$J$103,MATCH($A68,'Cars'!$A$4:$A$103,0))*30,0),""),""))</f>
        <v/>
      </c>
      <c r="L68" s="21">
        <f>IF(AND($J68="",$K68=""),"",MIN(IF($J68="",99999,$J68),IF($K68="",99999,$K68)))</f>
        <v/>
      </c>
      <c r="M68" s="16">
        <f>IF(AND($I68="",$J68=""),"",IF(OR(AND($I68&lt;&gt;"",N($I68)&lt;0),AND($J68&lt;&gt;"",N($J68)&lt;0)),"Overdue",IF(OR(AND($I68&lt;&gt;"",N($I68)&lt;=IFERROR(INDEX('Intervals'!$E$4:$E$33,MATCH($B68,'Intervals'!$A$4:$A$33,0)),500)),AND($J68&lt;&gt;"",N($J68)&lt;=IFERROR(INDEX('Intervals'!$F$4:$F$33,MATCH($B68,'Intervals'!$A$4:$A$33,0)),14))),"Due soon","OK")))</f>
        <v/>
      </c>
      <c r="N68" s="15" t="n"/>
      <c r="O68" s="22">
        <f>IF(OR($M68="",$M68="OK"),"",$L68+ROW()/100000)</f>
        <v/>
      </c>
    </row>
    <row r="69">
      <c r="A69" s="15" t="n"/>
      <c r="B69" s="15" t="n"/>
      <c r="C69" s="16">
        <f>IF($B69="","",IFERROR(INDEX('Intervals'!$B$4:$B$33,MATCH($B69,'Intervals'!$A$4:$A$33,0)),""))</f>
        <v/>
      </c>
      <c r="D69" s="17" t="n"/>
      <c r="E69" s="18" t="n"/>
      <c r="F69" s="19">
        <f>IF(OR($B69="",$E69=""),"",IFERROR(IF(AND(INDEX('Intervals'!$G$4:$G$33,MATCH($B69,'Intervals'!$A$4:$A$33,0))&lt;&gt;"No",N(INDEX('Intervals'!$C$4:$C$33,MATCH($B69,'Intervals'!$A$4:$A$33,0)))&gt;0),$E69+N(INDEX('Intervals'!$C$4:$C$33,MATCH($B69,'Intervals'!$A$4:$A$33,0))),""),""))</f>
        <v/>
      </c>
      <c r="G69" s="20">
        <f>IF(OR($B69="",$D69=""),"",IFERROR(IF(AND(INDEX('Intervals'!$G$4:$G$33,MATCH($B69,'Intervals'!$A$4:$A$33,0))&lt;&gt;"No",N(INDEX('Intervals'!$D$4:$D$33,MATCH($B69,'Intervals'!$A$4:$A$33,0)))&gt;0),EDATE($D69,N(INDEX('Intervals'!$D$4:$D$33,MATCH($B69,'Intervals'!$A$4:$A$33,0)))),""),""))</f>
        <v/>
      </c>
      <c r="H69" s="19">
        <f>IF($A69="","",IFERROR(IF(N(INDEX('Cars'!$H$4:$H$103,MATCH($A69,'Cars'!$A$4:$A$103,0)))&gt;0,INDEX('Cars'!$H$4:$H$103,MATCH($A69,'Cars'!$A$4:$A$103,0)),""),""))</f>
        <v/>
      </c>
      <c r="I69" s="19">
        <f>IF(OR($F69="",$H69=""),"",$F69-$H69)</f>
        <v/>
      </c>
      <c r="J69" s="21">
        <f>IF($G69="","",$G69-TODAY())</f>
        <v/>
      </c>
      <c r="K69" s="21">
        <f>IF($I69="","",IFERROR(IF(N(INDEX('Cars'!$J$4:$J$103,MATCH($A69,'Cars'!$A$4:$A$103,0)))&gt;0,ROUND($I69/INDEX('Cars'!$J$4:$J$103,MATCH($A69,'Cars'!$A$4:$A$103,0))*30,0),""),""))</f>
        <v/>
      </c>
      <c r="L69" s="21">
        <f>IF(AND($J69="",$K69=""),"",MIN(IF($J69="",99999,$J69),IF($K69="",99999,$K69)))</f>
        <v/>
      </c>
      <c r="M69" s="16">
        <f>IF(AND($I69="",$J69=""),"",IF(OR(AND($I69&lt;&gt;"",N($I69)&lt;0),AND($J69&lt;&gt;"",N($J69)&lt;0)),"Overdue",IF(OR(AND($I69&lt;&gt;"",N($I69)&lt;=IFERROR(INDEX('Intervals'!$E$4:$E$33,MATCH($B69,'Intervals'!$A$4:$A$33,0)),500)),AND($J69&lt;&gt;"",N($J69)&lt;=IFERROR(INDEX('Intervals'!$F$4:$F$33,MATCH($B69,'Intervals'!$A$4:$A$33,0)),14))),"Due soon","OK")))</f>
        <v/>
      </c>
      <c r="N69" s="15" t="n"/>
      <c r="O69" s="22">
        <f>IF(OR($M69="",$M69="OK"),"",$L69+ROW()/100000)</f>
        <v/>
      </c>
    </row>
    <row r="70">
      <c r="A70" s="15" t="n"/>
      <c r="B70" s="15" t="n"/>
      <c r="C70" s="16">
        <f>IF($B70="","",IFERROR(INDEX('Intervals'!$B$4:$B$33,MATCH($B70,'Intervals'!$A$4:$A$33,0)),""))</f>
        <v/>
      </c>
      <c r="D70" s="17" t="n"/>
      <c r="E70" s="18" t="n"/>
      <c r="F70" s="19">
        <f>IF(OR($B70="",$E70=""),"",IFERROR(IF(AND(INDEX('Intervals'!$G$4:$G$33,MATCH($B70,'Intervals'!$A$4:$A$33,0))&lt;&gt;"No",N(INDEX('Intervals'!$C$4:$C$33,MATCH($B70,'Intervals'!$A$4:$A$33,0)))&gt;0),$E70+N(INDEX('Intervals'!$C$4:$C$33,MATCH($B70,'Intervals'!$A$4:$A$33,0))),""),""))</f>
        <v/>
      </c>
      <c r="G70" s="20">
        <f>IF(OR($B70="",$D70=""),"",IFERROR(IF(AND(INDEX('Intervals'!$G$4:$G$33,MATCH($B70,'Intervals'!$A$4:$A$33,0))&lt;&gt;"No",N(INDEX('Intervals'!$D$4:$D$33,MATCH($B70,'Intervals'!$A$4:$A$33,0)))&gt;0),EDATE($D70,N(INDEX('Intervals'!$D$4:$D$33,MATCH($B70,'Intervals'!$A$4:$A$33,0)))),""),""))</f>
        <v/>
      </c>
      <c r="H70" s="19">
        <f>IF($A70="","",IFERROR(IF(N(INDEX('Cars'!$H$4:$H$103,MATCH($A70,'Cars'!$A$4:$A$103,0)))&gt;0,INDEX('Cars'!$H$4:$H$103,MATCH($A70,'Cars'!$A$4:$A$103,0)),""),""))</f>
        <v/>
      </c>
      <c r="I70" s="19">
        <f>IF(OR($F70="",$H70=""),"",$F70-$H70)</f>
        <v/>
      </c>
      <c r="J70" s="21">
        <f>IF($G70="","",$G70-TODAY())</f>
        <v/>
      </c>
      <c r="K70" s="21">
        <f>IF($I70="","",IFERROR(IF(N(INDEX('Cars'!$J$4:$J$103,MATCH($A70,'Cars'!$A$4:$A$103,0)))&gt;0,ROUND($I70/INDEX('Cars'!$J$4:$J$103,MATCH($A70,'Cars'!$A$4:$A$103,0))*30,0),""),""))</f>
        <v/>
      </c>
      <c r="L70" s="21">
        <f>IF(AND($J70="",$K70=""),"",MIN(IF($J70="",99999,$J70),IF($K70="",99999,$K70)))</f>
        <v/>
      </c>
      <c r="M70" s="16">
        <f>IF(AND($I70="",$J70=""),"",IF(OR(AND($I70&lt;&gt;"",N($I70)&lt;0),AND($J70&lt;&gt;"",N($J70)&lt;0)),"Overdue",IF(OR(AND($I70&lt;&gt;"",N($I70)&lt;=IFERROR(INDEX('Intervals'!$E$4:$E$33,MATCH($B70,'Intervals'!$A$4:$A$33,0)),500)),AND($J70&lt;&gt;"",N($J70)&lt;=IFERROR(INDEX('Intervals'!$F$4:$F$33,MATCH($B70,'Intervals'!$A$4:$A$33,0)),14))),"Due soon","OK")))</f>
        <v/>
      </c>
      <c r="N70" s="15" t="n"/>
      <c r="O70" s="22">
        <f>IF(OR($M70="",$M70="OK"),"",$L70+ROW()/100000)</f>
        <v/>
      </c>
    </row>
    <row r="71">
      <c r="A71" s="15" t="n"/>
      <c r="B71" s="15" t="n"/>
      <c r="C71" s="16">
        <f>IF($B71="","",IFERROR(INDEX('Intervals'!$B$4:$B$33,MATCH($B71,'Intervals'!$A$4:$A$33,0)),""))</f>
        <v/>
      </c>
      <c r="D71" s="17" t="n"/>
      <c r="E71" s="18" t="n"/>
      <c r="F71" s="19">
        <f>IF(OR($B71="",$E71=""),"",IFERROR(IF(AND(INDEX('Intervals'!$G$4:$G$33,MATCH($B71,'Intervals'!$A$4:$A$33,0))&lt;&gt;"No",N(INDEX('Intervals'!$C$4:$C$33,MATCH($B71,'Intervals'!$A$4:$A$33,0)))&gt;0),$E71+N(INDEX('Intervals'!$C$4:$C$33,MATCH($B71,'Intervals'!$A$4:$A$33,0))),""),""))</f>
        <v/>
      </c>
      <c r="G71" s="20">
        <f>IF(OR($B71="",$D71=""),"",IFERROR(IF(AND(INDEX('Intervals'!$G$4:$G$33,MATCH($B71,'Intervals'!$A$4:$A$33,0))&lt;&gt;"No",N(INDEX('Intervals'!$D$4:$D$33,MATCH($B71,'Intervals'!$A$4:$A$33,0)))&gt;0),EDATE($D71,N(INDEX('Intervals'!$D$4:$D$33,MATCH($B71,'Intervals'!$A$4:$A$33,0)))),""),""))</f>
        <v/>
      </c>
      <c r="H71" s="19">
        <f>IF($A71="","",IFERROR(IF(N(INDEX('Cars'!$H$4:$H$103,MATCH($A71,'Cars'!$A$4:$A$103,0)))&gt;0,INDEX('Cars'!$H$4:$H$103,MATCH($A71,'Cars'!$A$4:$A$103,0)),""),""))</f>
        <v/>
      </c>
      <c r="I71" s="19">
        <f>IF(OR($F71="",$H71=""),"",$F71-$H71)</f>
        <v/>
      </c>
      <c r="J71" s="21">
        <f>IF($G71="","",$G71-TODAY())</f>
        <v/>
      </c>
      <c r="K71" s="21">
        <f>IF($I71="","",IFERROR(IF(N(INDEX('Cars'!$J$4:$J$103,MATCH($A71,'Cars'!$A$4:$A$103,0)))&gt;0,ROUND($I71/INDEX('Cars'!$J$4:$J$103,MATCH($A71,'Cars'!$A$4:$A$103,0))*30,0),""),""))</f>
        <v/>
      </c>
      <c r="L71" s="21">
        <f>IF(AND($J71="",$K71=""),"",MIN(IF($J71="",99999,$J71),IF($K71="",99999,$K71)))</f>
        <v/>
      </c>
      <c r="M71" s="16">
        <f>IF(AND($I71="",$J71=""),"",IF(OR(AND($I71&lt;&gt;"",N($I71)&lt;0),AND($J71&lt;&gt;"",N($J71)&lt;0)),"Overdue",IF(OR(AND($I71&lt;&gt;"",N($I71)&lt;=IFERROR(INDEX('Intervals'!$E$4:$E$33,MATCH($B71,'Intervals'!$A$4:$A$33,0)),500)),AND($J71&lt;&gt;"",N($J71)&lt;=IFERROR(INDEX('Intervals'!$F$4:$F$33,MATCH($B71,'Intervals'!$A$4:$A$33,0)),14))),"Due soon","OK")))</f>
        <v/>
      </c>
      <c r="N71" s="15" t="n"/>
      <c r="O71" s="22">
        <f>IF(OR($M71="",$M71="OK"),"",$L71+ROW()/100000)</f>
        <v/>
      </c>
    </row>
    <row r="72">
      <c r="A72" s="15" t="n"/>
      <c r="B72" s="15" t="n"/>
      <c r="C72" s="16">
        <f>IF($B72="","",IFERROR(INDEX('Intervals'!$B$4:$B$33,MATCH($B72,'Intervals'!$A$4:$A$33,0)),""))</f>
        <v/>
      </c>
      <c r="D72" s="17" t="n"/>
      <c r="E72" s="18" t="n"/>
      <c r="F72" s="19">
        <f>IF(OR($B72="",$E72=""),"",IFERROR(IF(AND(INDEX('Intervals'!$G$4:$G$33,MATCH($B72,'Intervals'!$A$4:$A$33,0))&lt;&gt;"No",N(INDEX('Intervals'!$C$4:$C$33,MATCH($B72,'Intervals'!$A$4:$A$33,0)))&gt;0),$E72+N(INDEX('Intervals'!$C$4:$C$33,MATCH($B72,'Intervals'!$A$4:$A$33,0))),""),""))</f>
        <v/>
      </c>
      <c r="G72" s="20">
        <f>IF(OR($B72="",$D72=""),"",IFERROR(IF(AND(INDEX('Intervals'!$G$4:$G$33,MATCH($B72,'Intervals'!$A$4:$A$33,0))&lt;&gt;"No",N(INDEX('Intervals'!$D$4:$D$33,MATCH($B72,'Intervals'!$A$4:$A$33,0)))&gt;0),EDATE($D72,N(INDEX('Intervals'!$D$4:$D$33,MATCH($B72,'Intervals'!$A$4:$A$33,0)))),""),""))</f>
        <v/>
      </c>
      <c r="H72" s="19">
        <f>IF($A72="","",IFERROR(IF(N(INDEX('Cars'!$H$4:$H$103,MATCH($A72,'Cars'!$A$4:$A$103,0)))&gt;0,INDEX('Cars'!$H$4:$H$103,MATCH($A72,'Cars'!$A$4:$A$103,0)),""),""))</f>
        <v/>
      </c>
      <c r="I72" s="19">
        <f>IF(OR($F72="",$H72=""),"",$F72-$H72)</f>
        <v/>
      </c>
      <c r="J72" s="21">
        <f>IF($G72="","",$G72-TODAY())</f>
        <v/>
      </c>
      <c r="K72" s="21">
        <f>IF($I72="","",IFERROR(IF(N(INDEX('Cars'!$J$4:$J$103,MATCH($A72,'Cars'!$A$4:$A$103,0)))&gt;0,ROUND($I72/INDEX('Cars'!$J$4:$J$103,MATCH($A72,'Cars'!$A$4:$A$103,0))*30,0),""),""))</f>
        <v/>
      </c>
      <c r="L72" s="21">
        <f>IF(AND($J72="",$K72=""),"",MIN(IF($J72="",99999,$J72),IF($K72="",99999,$K72)))</f>
        <v/>
      </c>
      <c r="M72" s="16">
        <f>IF(AND($I72="",$J72=""),"",IF(OR(AND($I72&lt;&gt;"",N($I72)&lt;0),AND($J72&lt;&gt;"",N($J72)&lt;0)),"Overdue",IF(OR(AND($I72&lt;&gt;"",N($I72)&lt;=IFERROR(INDEX('Intervals'!$E$4:$E$33,MATCH($B72,'Intervals'!$A$4:$A$33,0)),500)),AND($J72&lt;&gt;"",N($J72)&lt;=IFERROR(INDEX('Intervals'!$F$4:$F$33,MATCH($B72,'Intervals'!$A$4:$A$33,0)),14))),"Due soon","OK")))</f>
        <v/>
      </c>
      <c r="N72" s="15" t="n"/>
      <c r="O72" s="22">
        <f>IF(OR($M72="",$M72="OK"),"",$L72+ROW()/100000)</f>
        <v/>
      </c>
    </row>
    <row r="73">
      <c r="A73" s="15" t="n"/>
      <c r="B73" s="15" t="n"/>
      <c r="C73" s="16">
        <f>IF($B73="","",IFERROR(INDEX('Intervals'!$B$4:$B$33,MATCH($B73,'Intervals'!$A$4:$A$33,0)),""))</f>
        <v/>
      </c>
      <c r="D73" s="17" t="n"/>
      <c r="E73" s="18" t="n"/>
      <c r="F73" s="19">
        <f>IF(OR($B73="",$E73=""),"",IFERROR(IF(AND(INDEX('Intervals'!$G$4:$G$33,MATCH($B73,'Intervals'!$A$4:$A$33,0))&lt;&gt;"No",N(INDEX('Intervals'!$C$4:$C$33,MATCH($B73,'Intervals'!$A$4:$A$33,0)))&gt;0),$E73+N(INDEX('Intervals'!$C$4:$C$33,MATCH($B73,'Intervals'!$A$4:$A$33,0))),""),""))</f>
        <v/>
      </c>
      <c r="G73" s="20">
        <f>IF(OR($B73="",$D73=""),"",IFERROR(IF(AND(INDEX('Intervals'!$G$4:$G$33,MATCH($B73,'Intervals'!$A$4:$A$33,0))&lt;&gt;"No",N(INDEX('Intervals'!$D$4:$D$33,MATCH($B73,'Intervals'!$A$4:$A$33,0)))&gt;0),EDATE($D73,N(INDEX('Intervals'!$D$4:$D$33,MATCH($B73,'Intervals'!$A$4:$A$33,0)))),""),""))</f>
        <v/>
      </c>
      <c r="H73" s="19">
        <f>IF($A73="","",IFERROR(IF(N(INDEX('Cars'!$H$4:$H$103,MATCH($A73,'Cars'!$A$4:$A$103,0)))&gt;0,INDEX('Cars'!$H$4:$H$103,MATCH($A73,'Cars'!$A$4:$A$103,0)),""),""))</f>
        <v/>
      </c>
      <c r="I73" s="19">
        <f>IF(OR($F73="",$H73=""),"",$F73-$H73)</f>
        <v/>
      </c>
      <c r="J73" s="21">
        <f>IF($G73="","",$G73-TODAY())</f>
        <v/>
      </c>
      <c r="K73" s="21">
        <f>IF($I73="","",IFERROR(IF(N(INDEX('Cars'!$J$4:$J$103,MATCH($A73,'Cars'!$A$4:$A$103,0)))&gt;0,ROUND($I73/INDEX('Cars'!$J$4:$J$103,MATCH($A73,'Cars'!$A$4:$A$103,0))*30,0),""),""))</f>
        <v/>
      </c>
      <c r="L73" s="21">
        <f>IF(AND($J73="",$K73=""),"",MIN(IF($J73="",99999,$J73),IF($K73="",99999,$K73)))</f>
        <v/>
      </c>
      <c r="M73" s="16">
        <f>IF(AND($I73="",$J73=""),"",IF(OR(AND($I73&lt;&gt;"",N($I73)&lt;0),AND($J73&lt;&gt;"",N($J73)&lt;0)),"Overdue",IF(OR(AND($I73&lt;&gt;"",N($I73)&lt;=IFERROR(INDEX('Intervals'!$E$4:$E$33,MATCH($B73,'Intervals'!$A$4:$A$33,0)),500)),AND($J73&lt;&gt;"",N($J73)&lt;=IFERROR(INDEX('Intervals'!$F$4:$F$33,MATCH($B73,'Intervals'!$A$4:$A$33,0)),14))),"Due soon","OK")))</f>
        <v/>
      </c>
      <c r="N73" s="15" t="n"/>
      <c r="O73" s="22">
        <f>IF(OR($M73="",$M73="OK"),"",$L73+ROW()/100000)</f>
        <v/>
      </c>
    </row>
    <row r="74">
      <c r="A74" s="15" t="n"/>
      <c r="B74" s="15" t="n"/>
      <c r="C74" s="16">
        <f>IF($B74="","",IFERROR(INDEX('Intervals'!$B$4:$B$33,MATCH($B74,'Intervals'!$A$4:$A$33,0)),""))</f>
        <v/>
      </c>
      <c r="D74" s="17" t="n"/>
      <c r="E74" s="18" t="n"/>
      <c r="F74" s="19">
        <f>IF(OR($B74="",$E74=""),"",IFERROR(IF(AND(INDEX('Intervals'!$G$4:$G$33,MATCH($B74,'Intervals'!$A$4:$A$33,0))&lt;&gt;"No",N(INDEX('Intervals'!$C$4:$C$33,MATCH($B74,'Intervals'!$A$4:$A$33,0)))&gt;0),$E74+N(INDEX('Intervals'!$C$4:$C$33,MATCH($B74,'Intervals'!$A$4:$A$33,0))),""),""))</f>
        <v/>
      </c>
      <c r="G74" s="20">
        <f>IF(OR($B74="",$D74=""),"",IFERROR(IF(AND(INDEX('Intervals'!$G$4:$G$33,MATCH($B74,'Intervals'!$A$4:$A$33,0))&lt;&gt;"No",N(INDEX('Intervals'!$D$4:$D$33,MATCH($B74,'Intervals'!$A$4:$A$33,0)))&gt;0),EDATE($D74,N(INDEX('Intervals'!$D$4:$D$33,MATCH($B74,'Intervals'!$A$4:$A$33,0)))),""),""))</f>
        <v/>
      </c>
      <c r="H74" s="19">
        <f>IF($A74="","",IFERROR(IF(N(INDEX('Cars'!$H$4:$H$103,MATCH($A74,'Cars'!$A$4:$A$103,0)))&gt;0,INDEX('Cars'!$H$4:$H$103,MATCH($A74,'Cars'!$A$4:$A$103,0)),""),""))</f>
        <v/>
      </c>
      <c r="I74" s="19">
        <f>IF(OR($F74="",$H74=""),"",$F74-$H74)</f>
        <v/>
      </c>
      <c r="J74" s="21">
        <f>IF($G74="","",$G74-TODAY())</f>
        <v/>
      </c>
      <c r="K74" s="21">
        <f>IF($I74="","",IFERROR(IF(N(INDEX('Cars'!$J$4:$J$103,MATCH($A74,'Cars'!$A$4:$A$103,0)))&gt;0,ROUND($I74/INDEX('Cars'!$J$4:$J$103,MATCH($A74,'Cars'!$A$4:$A$103,0))*30,0),""),""))</f>
        <v/>
      </c>
      <c r="L74" s="21">
        <f>IF(AND($J74="",$K74=""),"",MIN(IF($J74="",99999,$J74),IF($K74="",99999,$K74)))</f>
        <v/>
      </c>
      <c r="M74" s="16">
        <f>IF(AND($I74="",$J74=""),"",IF(OR(AND($I74&lt;&gt;"",N($I74)&lt;0),AND($J74&lt;&gt;"",N($J74)&lt;0)),"Overdue",IF(OR(AND($I74&lt;&gt;"",N($I74)&lt;=IFERROR(INDEX('Intervals'!$E$4:$E$33,MATCH($B74,'Intervals'!$A$4:$A$33,0)),500)),AND($J74&lt;&gt;"",N($J74)&lt;=IFERROR(INDEX('Intervals'!$F$4:$F$33,MATCH($B74,'Intervals'!$A$4:$A$33,0)),14))),"Due soon","OK")))</f>
        <v/>
      </c>
      <c r="N74" s="15" t="n"/>
      <c r="O74" s="22">
        <f>IF(OR($M74="",$M74="OK"),"",$L74+ROW()/100000)</f>
        <v/>
      </c>
    </row>
    <row r="75">
      <c r="A75" s="15" t="n"/>
      <c r="B75" s="15" t="n"/>
      <c r="C75" s="16">
        <f>IF($B75="","",IFERROR(INDEX('Intervals'!$B$4:$B$33,MATCH($B75,'Intervals'!$A$4:$A$33,0)),""))</f>
        <v/>
      </c>
      <c r="D75" s="17" t="n"/>
      <c r="E75" s="18" t="n"/>
      <c r="F75" s="19">
        <f>IF(OR($B75="",$E75=""),"",IFERROR(IF(AND(INDEX('Intervals'!$G$4:$G$33,MATCH($B75,'Intervals'!$A$4:$A$33,0))&lt;&gt;"No",N(INDEX('Intervals'!$C$4:$C$33,MATCH($B75,'Intervals'!$A$4:$A$33,0)))&gt;0),$E75+N(INDEX('Intervals'!$C$4:$C$33,MATCH($B75,'Intervals'!$A$4:$A$33,0))),""),""))</f>
        <v/>
      </c>
      <c r="G75" s="20">
        <f>IF(OR($B75="",$D75=""),"",IFERROR(IF(AND(INDEX('Intervals'!$G$4:$G$33,MATCH($B75,'Intervals'!$A$4:$A$33,0))&lt;&gt;"No",N(INDEX('Intervals'!$D$4:$D$33,MATCH($B75,'Intervals'!$A$4:$A$33,0)))&gt;0),EDATE($D75,N(INDEX('Intervals'!$D$4:$D$33,MATCH($B75,'Intervals'!$A$4:$A$33,0)))),""),""))</f>
        <v/>
      </c>
      <c r="H75" s="19">
        <f>IF($A75="","",IFERROR(IF(N(INDEX('Cars'!$H$4:$H$103,MATCH($A75,'Cars'!$A$4:$A$103,0)))&gt;0,INDEX('Cars'!$H$4:$H$103,MATCH($A75,'Cars'!$A$4:$A$103,0)),""),""))</f>
        <v/>
      </c>
      <c r="I75" s="19">
        <f>IF(OR($F75="",$H75=""),"",$F75-$H75)</f>
        <v/>
      </c>
      <c r="J75" s="21">
        <f>IF($G75="","",$G75-TODAY())</f>
        <v/>
      </c>
      <c r="K75" s="21">
        <f>IF($I75="","",IFERROR(IF(N(INDEX('Cars'!$J$4:$J$103,MATCH($A75,'Cars'!$A$4:$A$103,0)))&gt;0,ROUND($I75/INDEX('Cars'!$J$4:$J$103,MATCH($A75,'Cars'!$A$4:$A$103,0))*30,0),""),""))</f>
        <v/>
      </c>
      <c r="L75" s="21">
        <f>IF(AND($J75="",$K75=""),"",MIN(IF($J75="",99999,$J75),IF($K75="",99999,$K75)))</f>
        <v/>
      </c>
      <c r="M75" s="16">
        <f>IF(AND($I75="",$J75=""),"",IF(OR(AND($I75&lt;&gt;"",N($I75)&lt;0),AND($J75&lt;&gt;"",N($J75)&lt;0)),"Overdue",IF(OR(AND($I75&lt;&gt;"",N($I75)&lt;=IFERROR(INDEX('Intervals'!$E$4:$E$33,MATCH($B75,'Intervals'!$A$4:$A$33,0)),500)),AND($J75&lt;&gt;"",N($J75)&lt;=IFERROR(INDEX('Intervals'!$F$4:$F$33,MATCH($B75,'Intervals'!$A$4:$A$33,0)),14))),"Due soon","OK")))</f>
        <v/>
      </c>
      <c r="N75" s="15" t="n"/>
      <c r="O75" s="22">
        <f>IF(OR($M75="",$M75="OK"),"",$L75+ROW()/100000)</f>
        <v/>
      </c>
    </row>
    <row r="76">
      <c r="A76" s="15" t="n"/>
      <c r="B76" s="15" t="n"/>
      <c r="C76" s="16">
        <f>IF($B76="","",IFERROR(INDEX('Intervals'!$B$4:$B$33,MATCH($B76,'Intervals'!$A$4:$A$33,0)),""))</f>
        <v/>
      </c>
      <c r="D76" s="17" t="n"/>
      <c r="E76" s="18" t="n"/>
      <c r="F76" s="19">
        <f>IF(OR($B76="",$E76=""),"",IFERROR(IF(AND(INDEX('Intervals'!$G$4:$G$33,MATCH($B76,'Intervals'!$A$4:$A$33,0))&lt;&gt;"No",N(INDEX('Intervals'!$C$4:$C$33,MATCH($B76,'Intervals'!$A$4:$A$33,0)))&gt;0),$E76+N(INDEX('Intervals'!$C$4:$C$33,MATCH($B76,'Intervals'!$A$4:$A$33,0))),""),""))</f>
        <v/>
      </c>
      <c r="G76" s="20">
        <f>IF(OR($B76="",$D76=""),"",IFERROR(IF(AND(INDEX('Intervals'!$G$4:$G$33,MATCH($B76,'Intervals'!$A$4:$A$33,0))&lt;&gt;"No",N(INDEX('Intervals'!$D$4:$D$33,MATCH($B76,'Intervals'!$A$4:$A$33,0)))&gt;0),EDATE($D76,N(INDEX('Intervals'!$D$4:$D$33,MATCH($B76,'Intervals'!$A$4:$A$33,0)))),""),""))</f>
        <v/>
      </c>
      <c r="H76" s="19">
        <f>IF($A76="","",IFERROR(IF(N(INDEX('Cars'!$H$4:$H$103,MATCH($A76,'Cars'!$A$4:$A$103,0)))&gt;0,INDEX('Cars'!$H$4:$H$103,MATCH($A76,'Cars'!$A$4:$A$103,0)),""),""))</f>
        <v/>
      </c>
      <c r="I76" s="19">
        <f>IF(OR($F76="",$H76=""),"",$F76-$H76)</f>
        <v/>
      </c>
      <c r="J76" s="21">
        <f>IF($G76="","",$G76-TODAY())</f>
        <v/>
      </c>
      <c r="K76" s="21">
        <f>IF($I76="","",IFERROR(IF(N(INDEX('Cars'!$J$4:$J$103,MATCH($A76,'Cars'!$A$4:$A$103,0)))&gt;0,ROUND($I76/INDEX('Cars'!$J$4:$J$103,MATCH($A76,'Cars'!$A$4:$A$103,0))*30,0),""),""))</f>
        <v/>
      </c>
      <c r="L76" s="21">
        <f>IF(AND($J76="",$K76=""),"",MIN(IF($J76="",99999,$J76),IF($K76="",99999,$K76)))</f>
        <v/>
      </c>
      <c r="M76" s="16">
        <f>IF(AND($I76="",$J76=""),"",IF(OR(AND($I76&lt;&gt;"",N($I76)&lt;0),AND($J76&lt;&gt;"",N($J76)&lt;0)),"Overdue",IF(OR(AND($I76&lt;&gt;"",N($I76)&lt;=IFERROR(INDEX('Intervals'!$E$4:$E$33,MATCH($B76,'Intervals'!$A$4:$A$33,0)),500)),AND($J76&lt;&gt;"",N($J76)&lt;=IFERROR(INDEX('Intervals'!$F$4:$F$33,MATCH($B76,'Intervals'!$A$4:$A$33,0)),14))),"Due soon","OK")))</f>
        <v/>
      </c>
      <c r="N76" s="15" t="n"/>
      <c r="O76" s="22">
        <f>IF(OR($M76="",$M76="OK"),"",$L76+ROW()/100000)</f>
        <v/>
      </c>
    </row>
    <row r="77">
      <c r="A77" s="15" t="n"/>
      <c r="B77" s="15" t="n"/>
      <c r="C77" s="16">
        <f>IF($B77="","",IFERROR(INDEX('Intervals'!$B$4:$B$33,MATCH($B77,'Intervals'!$A$4:$A$33,0)),""))</f>
        <v/>
      </c>
      <c r="D77" s="17" t="n"/>
      <c r="E77" s="18" t="n"/>
      <c r="F77" s="19">
        <f>IF(OR($B77="",$E77=""),"",IFERROR(IF(AND(INDEX('Intervals'!$G$4:$G$33,MATCH($B77,'Intervals'!$A$4:$A$33,0))&lt;&gt;"No",N(INDEX('Intervals'!$C$4:$C$33,MATCH($B77,'Intervals'!$A$4:$A$33,0)))&gt;0),$E77+N(INDEX('Intervals'!$C$4:$C$33,MATCH($B77,'Intervals'!$A$4:$A$33,0))),""),""))</f>
        <v/>
      </c>
      <c r="G77" s="20">
        <f>IF(OR($B77="",$D77=""),"",IFERROR(IF(AND(INDEX('Intervals'!$G$4:$G$33,MATCH($B77,'Intervals'!$A$4:$A$33,0))&lt;&gt;"No",N(INDEX('Intervals'!$D$4:$D$33,MATCH($B77,'Intervals'!$A$4:$A$33,0)))&gt;0),EDATE($D77,N(INDEX('Intervals'!$D$4:$D$33,MATCH($B77,'Intervals'!$A$4:$A$33,0)))),""),""))</f>
        <v/>
      </c>
      <c r="H77" s="19">
        <f>IF($A77="","",IFERROR(IF(N(INDEX('Cars'!$H$4:$H$103,MATCH($A77,'Cars'!$A$4:$A$103,0)))&gt;0,INDEX('Cars'!$H$4:$H$103,MATCH($A77,'Cars'!$A$4:$A$103,0)),""),""))</f>
        <v/>
      </c>
      <c r="I77" s="19">
        <f>IF(OR($F77="",$H77=""),"",$F77-$H77)</f>
        <v/>
      </c>
      <c r="J77" s="21">
        <f>IF($G77="","",$G77-TODAY())</f>
        <v/>
      </c>
      <c r="K77" s="21">
        <f>IF($I77="","",IFERROR(IF(N(INDEX('Cars'!$J$4:$J$103,MATCH($A77,'Cars'!$A$4:$A$103,0)))&gt;0,ROUND($I77/INDEX('Cars'!$J$4:$J$103,MATCH($A77,'Cars'!$A$4:$A$103,0))*30,0),""),""))</f>
        <v/>
      </c>
      <c r="L77" s="21">
        <f>IF(AND($J77="",$K77=""),"",MIN(IF($J77="",99999,$J77),IF($K77="",99999,$K77)))</f>
        <v/>
      </c>
      <c r="M77" s="16">
        <f>IF(AND($I77="",$J77=""),"",IF(OR(AND($I77&lt;&gt;"",N($I77)&lt;0),AND($J77&lt;&gt;"",N($J77)&lt;0)),"Overdue",IF(OR(AND($I77&lt;&gt;"",N($I77)&lt;=IFERROR(INDEX('Intervals'!$E$4:$E$33,MATCH($B77,'Intervals'!$A$4:$A$33,0)),500)),AND($J77&lt;&gt;"",N($J77)&lt;=IFERROR(INDEX('Intervals'!$F$4:$F$33,MATCH($B77,'Intervals'!$A$4:$A$33,0)),14))),"Due soon","OK")))</f>
        <v/>
      </c>
      <c r="N77" s="15" t="n"/>
      <c r="O77" s="22">
        <f>IF(OR($M77="",$M77="OK"),"",$L77+ROW()/100000)</f>
        <v/>
      </c>
    </row>
    <row r="78">
      <c r="A78" s="15" t="n"/>
      <c r="B78" s="15" t="n"/>
      <c r="C78" s="16">
        <f>IF($B78="","",IFERROR(INDEX('Intervals'!$B$4:$B$33,MATCH($B78,'Intervals'!$A$4:$A$33,0)),""))</f>
        <v/>
      </c>
      <c r="D78" s="17" t="n"/>
      <c r="E78" s="18" t="n"/>
      <c r="F78" s="19">
        <f>IF(OR($B78="",$E78=""),"",IFERROR(IF(AND(INDEX('Intervals'!$G$4:$G$33,MATCH($B78,'Intervals'!$A$4:$A$33,0))&lt;&gt;"No",N(INDEX('Intervals'!$C$4:$C$33,MATCH($B78,'Intervals'!$A$4:$A$33,0)))&gt;0),$E78+N(INDEX('Intervals'!$C$4:$C$33,MATCH($B78,'Intervals'!$A$4:$A$33,0))),""),""))</f>
        <v/>
      </c>
      <c r="G78" s="20">
        <f>IF(OR($B78="",$D78=""),"",IFERROR(IF(AND(INDEX('Intervals'!$G$4:$G$33,MATCH($B78,'Intervals'!$A$4:$A$33,0))&lt;&gt;"No",N(INDEX('Intervals'!$D$4:$D$33,MATCH($B78,'Intervals'!$A$4:$A$33,0)))&gt;0),EDATE($D78,N(INDEX('Intervals'!$D$4:$D$33,MATCH($B78,'Intervals'!$A$4:$A$33,0)))),""),""))</f>
        <v/>
      </c>
      <c r="H78" s="19">
        <f>IF($A78="","",IFERROR(IF(N(INDEX('Cars'!$H$4:$H$103,MATCH($A78,'Cars'!$A$4:$A$103,0)))&gt;0,INDEX('Cars'!$H$4:$H$103,MATCH($A78,'Cars'!$A$4:$A$103,0)),""),""))</f>
        <v/>
      </c>
      <c r="I78" s="19">
        <f>IF(OR($F78="",$H78=""),"",$F78-$H78)</f>
        <v/>
      </c>
      <c r="J78" s="21">
        <f>IF($G78="","",$G78-TODAY())</f>
        <v/>
      </c>
      <c r="K78" s="21">
        <f>IF($I78="","",IFERROR(IF(N(INDEX('Cars'!$J$4:$J$103,MATCH($A78,'Cars'!$A$4:$A$103,0)))&gt;0,ROUND($I78/INDEX('Cars'!$J$4:$J$103,MATCH($A78,'Cars'!$A$4:$A$103,0))*30,0),""),""))</f>
        <v/>
      </c>
      <c r="L78" s="21">
        <f>IF(AND($J78="",$K78=""),"",MIN(IF($J78="",99999,$J78),IF($K78="",99999,$K78)))</f>
        <v/>
      </c>
      <c r="M78" s="16">
        <f>IF(AND($I78="",$J78=""),"",IF(OR(AND($I78&lt;&gt;"",N($I78)&lt;0),AND($J78&lt;&gt;"",N($J78)&lt;0)),"Overdue",IF(OR(AND($I78&lt;&gt;"",N($I78)&lt;=IFERROR(INDEX('Intervals'!$E$4:$E$33,MATCH($B78,'Intervals'!$A$4:$A$33,0)),500)),AND($J78&lt;&gt;"",N($J78)&lt;=IFERROR(INDEX('Intervals'!$F$4:$F$33,MATCH($B78,'Intervals'!$A$4:$A$33,0)),14))),"Due soon","OK")))</f>
        <v/>
      </c>
      <c r="N78" s="15" t="n"/>
      <c r="O78" s="22">
        <f>IF(OR($M78="",$M78="OK"),"",$L78+ROW()/100000)</f>
        <v/>
      </c>
    </row>
    <row r="79">
      <c r="A79" s="15" t="n"/>
      <c r="B79" s="15" t="n"/>
      <c r="C79" s="16">
        <f>IF($B79="","",IFERROR(INDEX('Intervals'!$B$4:$B$33,MATCH($B79,'Intervals'!$A$4:$A$33,0)),""))</f>
        <v/>
      </c>
      <c r="D79" s="17" t="n"/>
      <c r="E79" s="18" t="n"/>
      <c r="F79" s="19">
        <f>IF(OR($B79="",$E79=""),"",IFERROR(IF(AND(INDEX('Intervals'!$G$4:$G$33,MATCH($B79,'Intervals'!$A$4:$A$33,0))&lt;&gt;"No",N(INDEX('Intervals'!$C$4:$C$33,MATCH($B79,'Intervals'!$A$4:$A$33,0)))&gt;0),$E79+N(INDEX('Intervals'!$C$4:$C$33,MATCH($B79,'Intervals'!$A$4:$A$33,0))),""),""))</f>
        <v/>
      </c>
      <c r="G79" s="20">
        <f>IF(OR($B79="",$D79=""),"",IFERROR(IF(AND(INDEX('Intervals'!$G$4:$G$33,MATCH($B79,'Intervals'!$A$4:$A$33,0))&lt;&gt;"No",N(INDEX('Intervals'!$D$4:$D$33,MATCH($B79,'Intervals'!$A$4:$A$33,0)))&gt;0),EDATE($D79,N(INDEX('Intervals'!$D$4:$D$33,MATCH($B79,'Intervals'!$A$4:$A$33,0)))),""),""))</f>
        <v/>
      </c>
      <c r="H79" s="19">
        <f>IF($A79="","",IFERROR(IF(N(INDEX('Cars'!$H$4:$H$103,MATCH($A79,'Cars'!$A$4:$A$103,0)))&gt;0,INDEX('Cars'!$H$4:$H$103,MATCH($A79,'Cars'!$A$4:$A$103,0)),""),""))</f>
        <v/>
      </c>
      <c r="I79" s="19">
        <f>IF(OR($F79="",$H79=""),"",$F79-$H79)</f>
        <v/>
      </c>
      <c r="J79" s="21">
        <f>IF($G79="","",$G79-TODAY())</f>
        <v/>
      </c>
      <c r="K79" s="21">
        <f>IF($I79="","",IFERROR(IF(N(INDEX('Cars'!$J$4:$J$103,MATCH($A79,'Cars'!$A$4:$A$103,0)))&gt;0,ROUND($I79/INDEX('Cars'!$J$4:$J$103,MATCH($A79,'Cars'!$A$4:$A$103,0))*30,0),""),""))</f>
        <v/>
      </c>
      <c r="L79" s="21">
        <f>IF(AND($J79="",$K79=""),"",MIN(IF($J79="",99999,$J79),IF($K79="",99999,$K79)))</f>
        <v/>
      </c>
      <c r="M79" s="16">
        <f>IF(AND($I79="",$J79=""),"",IF(OR(AND($I79&lt;&gt;"",N($I79)&lt;0),AND($J79&lt;&gt;"",N($J79)&lt;0)),"Overdue",IF(OR(AND($I79&lt;&gt;"",N($I79)&lt;=IFERROR(INDEX('Intervals'!$E$4:$E$33,MATCH($B79,'Intervals'!$A$4:$A$33,0)),500)),AND($J79&lt;&gt;"",N($J79)&lt;=IFERROR(INDEX('Intervals'!$F$4:$F$33,MATCH($B79,'Intervals'!$A$4:$A$33,0)),14))),"Due soon","OK")))</f>
        <v/>
      </c>
      <c r="N79" s="15" t="n"/>
      <c r="O79" s="22">
        <f>IF(OR($M79="",$M79="OK"),"",$L79+ROW()/100000)</f>
        <v/>
      </c>
    </row>
    <row r="80">
      <c r="A80" s="15" t="n"/>
      <c r="B80" s="15" t="n"/>
      <c r="C80" s="16">
        <f>IF($B80="","",IFERROR(INDEX('Intervals'!$B$4:$B$33,MATCH($B80,'Intervals'!$A$4:$A$33,0)),""))</f>
        <v/>
      </c>
      <c r="D80" s="17" t="n"/>
      <c r="E80" s="18" t="n"/>
      <c r="F80" s="19">
        <f>IF(OR($B80="",$E80=""),"",IFERROR(IF(AND(INDEX('Intervals'!$G$4:$G$33,MATCH($B80,'Intervals'!$A$4:$A$33,0))&lt;&gt;"No",N(INDEX('Intervals'!$C$4:$C$33,MATCH($B80,'Intervals'!$A$4:$A$33,0)))&gt;0),$E80+N(INDEX('Intervals'!$C$4:$C$33,MATCH($B80,'Intervals'!$A$4:$A$33,0))),""),""))</f>
        <v/>
      </c>
      <c r="G80" s="20">
        <f>IF(OR($B80="",$D80=""),"",IFERROR(IF(AND(INDEX('Intervals'!$G$4:$G$33,MATCH($B80,'Intervals'!$A$4:$A$33,0))&lt;&gt;"No",N(INDEX('Intervals'!$D$4:$D$33,MATCH($B80,'Intervals'!$A$4:$A$33,0)))&gt;0),EDATE($D80,N(INDEX('Intervals'!$D$4:$D$33,MATCH($B80,'Intervals'!$A$4:$A$33,0)))),""),""))</f>
        <v/>
      </c>
      <c r="H80" s="19">
        <f>IF($A80="","",IFERROR(IF(N(INDEX('Cars'!$H$4:$H$103,MATCH($A80,'Cars'!$A$4:$A$103,0)))&gt;0,INDEX('Cars'!$H$4:$H$103,MATCH($A80,'Cars'!$A$4:$A$103,0)),""),""))</f>
        <v/>
      </c>
      <c r="I80" s="19">
        <f>IF(OR($F80="",$H80=""),"",$F80-$H80)</f>
        <v/>
      </c>
      <c r="J80" s="21">
        <f>IF($G80="","",$G80-TODAY())</f>
        <v/>
      </c>
      <c r="K80" s="21">
        <f>IF($I80="","",IFERROR(IF(N(INDEX('Cars'!$J$4:$J$103,MATCH($A80,'Cars'!$A$4:$A$103,0)))&gt;0,ROUND($I80/INDEX('Cars'!$J$4:$J$103,MATCH($A80,'Cars'!$A$4:$A$103,0))*30,0),""),""))</f>
        <v/>
      </c>
      <c r="L80" s="21">
        <f>IF(AND($J80="",$K80=""),"",MIN(IF($J80="",99999,$J80),IF($K80="",99999,$K80)))</f>
        <v/>
      </c>
      <c r="M80" s="16">
        <f>IF(AND($I80="",$J80=""),"",IF(OR(AND($I80&lt;&gt;"",N($I80)&lt;0),AND($J80&lt;&gt;"",N($J80)&lt;0)),"Overdue",IF(OR(AND($I80&lt;&gt;"",N($I80)&lt;=IFERROR(INDEX('Intervals'!$E$4:$E$33,MATCH($B80,'Intervals'!$A$4:$A$33,0)),500)),AND($J80&lt;&gt;"",N($J80)&lt;=IFERROR(INDEX('Intervals'!$F$4:$F$33,MATCH($B80,'Intervals'!$A$4:$A$33,0)),14))),"Due soon","OK")))</f>
        <v/>
      </c>
      <c r="N80" s="15" t="n"/>
      <c r="O80" s="22">
        <f>IF(OR($M80="",$M80="OK"),"",$L80+ROW()/100000)</f>
        <v/>
      </c>
    </row>
    <row r="81">
      <c r="A81" s="15" t="n"/>
      <c r="B81" s="15" t="n"/>
      <c r="C81" s="16">
        <f>IF($B81="","",IFERROR(INDEX('Intervals'!$B$4:$B$33,MATCH($B81,'Intervals'!$A$4:$A$33,0)),""))</f>
        <v/>
      </c>
      <c r="D81" s="17" t="n"/>
      <c r="E81" s="18" t="n"/>
      <c r="F81" s="19">
        <f>IF(OR($B81="",$E81=""),"",IFERROR(IF(AND(INDEX('Intervals'!$G$4:$G$33,MATCH($B81,'Intervals'!$A$4:$A$33,0))&lt;&gt;"No",N(INDEX('Intervals'!$C$4:$C$33,MATCH($B81,'Intervals'!$A$4:$A$33,0)))&gt;0),$E81+N(INDEX('Intervals'!$C$4:$C$33,MATCH($B81,'Intervals'!$A$4:$A$33,0))),""),""))</f>
        <v/>
      </c>
      <c r="G81" s="20">
        <f>IF(OR($B81="",$D81=""),"",IFERROR(IF(AND(INDEX('Intervals'!$G$4:$G$33,MATCH($B81,'Intervals'!$A$4:$A$33,0))&lt;&gt;"No",N(INDEX('Intervals'!$D$4:$D$33,MATCH($B81,'Intervals'!$A$4:$A$33,0)))&gt;0),EDATE($D81,N(INDEX('Intervals'!$D$4:$D$33,MATCH($B81,'Intervals'!$A$4:$A$33,0)))),""),""))</f>
        <v/>
      </c>
      <c r="H81" s="19">
        <f>IF($A81="","",IFERROR(IF(N(INDEX('Cars'!$H$4:$H$103,MATCH($A81,'Cars'!$A$4:$A$103,0)))&gt;0,INDEX('Cars'!$H$4:$H$103,MATCH($A81,'Cars'!$A$4:$A$103,0)),""),""))</f>
        <v/>
      </c>
      <c r="I81" s="19">
        <f>IF(OR($F81="",$H81=""),"",$F81-$H81)</f>
        <v/>
      </c>
      <c r="J81" s="21">
        <f>IF($G81="","",$G81-TODAY())</f>
        <v/>
      </c>
      <c r="K81" s="21">
        <f>IF($I81="","",IFERROR(IF(N(INDEX('Cars'!$J$4:$J$103,MATCH($A81,'Cars'!$A$4:$A$103,0)))&gt;0,ROUND($I81/INDEX('Cars'!$J$4:$J$103,MATCH($A81,'Cars'!$A$4:$A$103,0))*30,0),""),""))</f>
        <v/>
      </c>
      <c r="L81" s="21">
        <f>IF(AND($J81="",$K81=""),"",MIN(IF($J81="",99999,$J81),IF($K81="",99999,$K81)))</f>
        <v/>
      </c>
      <c r="M81" s="16">
        <f>IF(AND($I81="",$J81=""),"",IF(OR(AND($I81&lt;&gt;"",N($I81)&lt;0),AND($J81&lt;&gt;"",N($J81)&lt;0)),"Overdue",IF(OR(AND($I81&lt;&gt;"",N($I81)&lt;=IFERROR(INDEX('Intervals'!$E$4:$E$33,MATCH($B81,'Intervals'!$A$4:$A$33,0)),500)),AND($J81&lt;&gt;"",N($J81)&lt;=IFERROR(INDEX('Intervals'!$F$4:$F$33,MATCH($B81,'Intervals'!$A$4:$A$33,0)),14))),"Due soon","OK")))</f>
        <v/>
      </c>
      <c r="N81" s="15" t="n"/>
      <c r="O81" s="22">
        <f>IF(OR($M81="",$M81="OK"),"",$L81+ROW()/100000)</f>
        <v/>
      </c>
    </row>
    <row r="82">
      <c r="A82" s="15" t="n"/>
      <c r="B82" s="15" t="n"/>
      <c r="C82" s="16">
        <f>IF($B82="","",IFERROR(INDEX('Intervals'!$B$4:$B$33,MATCH($B82,'Intervals'!$A$4:$A$33,0)),""))</f>
        <v/>
      </c>
      <c r="D82" s="17" t="n"/>
      <c r="E82" s="18" t="n"/>
      <c r="F82" s="19">
        <f>IF(OR($B82="",$E82=""),"",IFERROR(IF(AND(INDEX('Intervals'!$G$4:$G$33,MATCH($B82,'Intervals'!$A$4:$A$33,0))&lt;&gt;"No",N(INDEX('Intervals'!$C$4:$C$33,MATCH($B82,'Intervals'!$A$4:$A$33,0)))&gt;0),$E82+N(INDEX('Intervals'!$C$4:$C$33,MATCH($B82,'Intervals'!$A$4:$A$33,0))),""),""))</f>
        <v/>
      </c>
      <c r="G82" s="20">
        <f>IF(OR($B82="",$D82=""),"",IFERROR(IF(AND(INDEX('Intervals'!$G$4:$G$33,MATCH($B82,'Intervals'!$A$4:$A$33,0))&lt;&gt;"No",N(INDEX('Intervals'!$D$4:$D$33,MATCH($B82,'Intervals'!$A$4:$A$33,0)))&gt;0),EDATE($D82,N(INDEX('Intervals'!$D$4:$D$33,MATCH($B82,'Intervals'!$A$4:$A$33,0)))),""),""))</f>
        <v/>
      </c>
      <c r="H82" s="19">
        <f>IF($A82="","",IFERROR(IF(N(INDEX('Cars'!$H$4:$H$103,MATCH($A82,'Cars'!$A$4:$A$103,0)))&gt;0,INDEX('Cars'!$H$4:$H$103,MATCH($A82,'Cars'!$A$4:$A$103,0)),""),""))</f>
        <v/>
      </c>
      <c r="I82" s="19">
        <f>IF(OR($F82="",$H82=""),"",$F82-$H82)</f>
        <v/>
      </c>
      <c r="J82" s="21">
        <f>IF($G82="","",$G82-TODAY())</f>
        <v/>
      </c>
      <c r="K82" s="21">
        <f>IF($I82="","",IFERROR(IF(N(INDEX('Cars'!$J$4:$J$103,MATCH($A82,'Cars'!$A$4:$A$103,0)))&gt;0,ROUND($I82/INDEX('Cars'!$J$4:$J$103,MATCH($A82,'Cars'!$A$4:$A$103,0))*30,0),""),""))</f>
        <v/>
      </c>
      <c r="L82" s="21">
        <f>IF(AND($J82="",$K82=""),"",MIN(IF($J82="",99999,$J82),IF($K82="",99999,$K82)))</f>
        <v/>
      </c>
      <c r="M82" s="16">
        <f>IF(AND($I82="",$J82=""),"",IF(OR(AND($I82&lt;&gt;"",N($I82)&lt;0),AND($J82&lt;&gt;"",N($J82)&lt;0)),"Overdue",IF(OR(AND($I82&lt;&gt;"",N($I82)&lt;=IFERROR(INDEX('Intervals'!$E$4:$E$33,MATCH($B82,'Intervals'!$A$4:$A$33,0)),500)),AND($J82&lt;&gt;"",N($J82)&lt;=IFERROR(INDEX('Intervals'!$F$4:$F$33,MATCH($B82,'Intervals'!$A$4:$A$33,0)),14))),"Due soon","OK")))</f>
        <v/>
      </c>
      <c r="N82" s="15" t="n"/>
      <c r="O82" s="22">
        <f>IF(OR($M82="",$M82="OK"),"",$L82+ROW()/100000)</f>
        <v/>
      </c>
    </row>
    <row r="83">
      <c r="A83" s="15" t="n"/>
      <c r="B83" s="15" t="n"/>
      <c r="C83" s="16">
        <f>IF($B83="","",IFERROR(INDEX('Intervals'!$B$4:$B$33,MATCH($B83,'Intervals'!$A$4:$A$33,0)),""))</f>
        <v/>
      </c>
      <c r="D83" s="17" t="n"/>
      <c r="E83" s="18" t="n"/>
      <c r="F83" s="19">
        <f>IF(OR($B83="",$E83=""),"",IFERROR(IF(AND(INDEX('Intervals'!$G$4:$G$33,MATCH($B83,'Intervals'!$A$4:$A$33,0))&lt;&gt;"No",N(INDEX('Intervals'!$C$4:$C$33,MATCH($B83,'Intervals'!$A$4:$A$33,0)))&gt;0),$E83+N(INDEX('Intervals'!$C$4:$C$33,MATCH($B83,'Intervals'!$A$4:$A$33,0))),""),""))</f>
        <v/>
      </c>
      <c r="G83" s="20">
        <f>IF(OR($B83="",$D83=""),"",IFERROR(IF(AND(INDEX('Intervals'!$G$4:$G$33,MATCH($B83,'Intervals'!$A$4:$A$33,0))&lt;&gt;"No",N(INDEX('Intervals'!$D$4:$D$33,MATCH($B83,'Intervals'!$A$4:$A$33,0)))&gt;0),EDATE($D83,N(INDEX('Intervals'!$D$4:$D$33,MATCH($B83,'Intervals'!$A$4:$A$33,0)))),""),""))</f>
        <v/>
      </c>
      <c r="H83" s="19">
        <f>IF($A83="","",IFERROR(IF(N(INDEX('Cars'!$H$4:$H$103,MATCH($A83,'Cars'!$A$4:$A$103,0)))&gt;0,INDEX('Cars'!$H$4:$H$103,MATCH($A83,'Cars'!$A$4:$A$103,0)),""),""))</f>
        <v/>
      </c>
      <c r="I83" s="19">
        <f>IF(OR($F83="",$H83=""),"",$F83-$H83)</f>
        <v/>
      </c>
      <c r="J83" s="21">
        <f>IF($G83="","",$G83-TODAY())</f>
        <v/>
      </c>
      <c r="K83" s="21">
        <f>IF($I83="","",IFERROR(IF(N(INDEX('Cars'!$J$4:$J$103,MATCH($A83,'Cars'!$A$4:$A$103,0)))&gt;0,ROUND($I83/INDEX('Cars'!$J$4:$J$103,MATCH($A83,'Cars'!$A$4:$A$103,0))*30,0),""),""))</f>
        <v/>
      </c>
      <c r="L83" s="21">
        <f>IF(AND($J83="",$K83=""),"",MIN(IF($J83="",99999,$J83),IF($K83="",99999,$K83)))</f>
        <v/>
      </c>
      <c r="M83" s="16">
        <f>IF(AND($I83="",$J83=""),"",IF(OR(AND($I83&lt;&gt;"",N($I83)&lt;0),AND($J83&lt;&gt;"",N($J83)&lt;0)),"Overdue",IF(OR(AND($I83&lt;&gt;"",N($I83)&lt;=IFERROR(INDEX('Intervals'!$E$4:$E$33,MATCH($B83,'Intervals'!$A$4:$A$33,0)),500)),AND($J83&lt;&gt;"",N($J83)&lt;=IFERROR(INDEX('Intervals'!$F$4:$F$33,MATCH($B83,'Intervals'!$A$4:$A$33,0)),14))),"Due soon","OK")))</f>
        <v/>
      </c>
      <c r="N83" s="15" t="n"/>
      <c r="O83" s="22">
        <f>IF(OR($M83="",$M83="OK"),"",$L83+ROW()/100000)</f>
        <v/>
      </c>
    </row>
    <row r="84">
      <c r="A84" s="15" t="n"/>
      <c r="B84" s="15" t="n"/>
      <c r="C84" s="16">
        <f>IF($B84="","",IFERROR(INDEX('Intervals'!$B$4:$B$33,MATCH($B84,'Intervals'!$A$4:$A$33,0)),""))</f>
        <v/>
      </c>
      <c r="D84" s="17" t="n"/>
      <c r="E84" s="18" t="n"/>
      <c r="F84" s="19">
        <f>IF(OR($B84="",$E84=""),"",IFERROR(IF(AND(INDEX('Intervals'!$G$4:$G$33,MATCH($B84,'Intervals'!$A$4:$A$33,0))&lt;&gt;"No",N(INDEX('Intervals'!$C$4:$C$33,MATCH($B84,'Intervals'!$A$4:$A$33,0)))&gt;0),$E84+N(INDEX('Intervals'!$C$4:$C$33,MATCH($B84,'Intervals'!$A$4:$A$33,0))),""),""))</f>
        <v/>
      </c>
      <c r="G84" s="20">
        <f>IF(OR($B84="",$D84=""),"",IFERROR(IF(AND(INDEX('Intervals'!$G$4:$G$33,MATCH($B84,'Intervals'!$A$4:$A$33,0))&lt;&gt;"No",N(INDEX('Intervals'!$D$4:$D$33,MATCH($B84,'Intervals'!$A$4:$A$33,0)))&gt;0),EDATE($D84,N(INDEX('Intervals'!$D$4:$D$33,MATCH($B84,'Intervals'!$A$4:$A$33,0)))),""),""))</f>
        <v/>
      </c>
      <c r="H84" s="19">
        <f>IF($A84="","",IFERROR(IF(N(INDEX('Cars'!$H$4:$H$103,MATCH($A84,'Cars'!$A$4:$A$103,0)))&gt;0,INDEX('Cars'!$H$4:$H$103,MATCH($A84,'Cars'!$A$4:$A$103,0)),""),""))</f>
        <v/>
      </c>
      <c r="I84" s="19">
        <f>IF(OR($F84="",$H84=""),"",$F84-$H84)</f>
        <v/>
      </c>
      <c r="J84" s="21">
        <f>IF($G84="","",$G84-TODAY())</f>
        <v/>
      </c>
      <c r="K84" s="21">
        <f>IF($I84="","",IFERROR(IF(N(INDEX('Cars'!$J$4:$J$103,MATCH($A84,'Cars'!$A$4:$A$103,0)))&gt;0,ROUND($I84/INDEX('Cars'!$J$4:$J$103,MATCH($A84,'Cars'!$A$4:$A$103,0))*30,0),""),""))</f>
        <v/>
      </c>
      <c r="L84" s="21">
        <f>IF(AND($J84="",$K84=""),"",MIN(IF($J84="",99999,$J84),IF($K84="",99999,$K84)))</f>
        <v/>
      </c>
      <c r="M84" s="16">
        <f>IF(AND($I84="",$J84=""),"",IF(OR(AND($I84&lt;&gt;"",N($I84)&lt;0),AND($J84&lt;&gt;"",N($J84)&lt;0)),"Overdue",IF(OR(AND($I84&lt;&gt;"",N($I84)&lt;=IFERROR(INDEX('Intervals'!$E$4:$E$33,MATCH($B84,'Intervals'!$A$4:$A$33,0)),500)),AND($J84&lt;&gt;"",N($J84)&lt;=IFERROR(INDEX('Intervals'!$F$4:$F$33,MATCH($B84,'Intervals'!$A$4:$A$33,0)),14))),"Due soon","OK")))</f>
        <v/>
      </c>
      <c r="N84" s="15" t="n"/>
      <c r="O84" s="22">
        <f>IF(OR($M84="",$M84="OK"),"",$L84+ROW()/100000)</f>
        <v/>
      </c>
    </row>
    <row r="85">
      <c r="A85" s="15" t="n"/>
      <c r="B85" s="15" t="n"/>
      <c r="C85" s="16">
        <f>IF($B85="","",IFERROR(INDEX('Intervals'!$B$4:$B$33,MATCH($B85,'Intervals'!$A$4:$A$33,0)),""))</f>
        <v/>
      </c>
      <c r="D85" s="17" t="n"/>
      <c r="E85" s="18" t="n"/>
      <c r="F85" s="19">
        <f>IF(OR($B85="",$E85=""),"",IFERROR(IF(AND(INDEX('Intervals'!$G$4:$G$33,MATCH($B85,'Intervals'!$A$4:$A$33,0))&lt;&gt;"No",N(INDEX('Intervals'!$C$4:$C$33,MATCH($B85,'Intervals'!$A$4:$A$33,0)))&gt;0),$E85+N(INDEX('Intervals'!$C$4:$C$33,MATCH($B85,'Intervals'!$A$4:$A$33,0))),""),""))</f>
        <v/>
      </c>
      <c r="G85" s="20">
        <f>IF(OR($B85="",$D85=""),"",IFERROR(IF(AND(INDEX('Intervals'!$G$4:$G$33,MATCH($B85,'Intervals'!$A$4:$A$33,0))&lt;&gt;"No",N(INDEX('Intervals'!$D$4:$D$33,MATCH($B85,'Intervals'!$A$4:$A$33,0)))&gt;0),EDATE($D85,N(INDEX('Intervals'!$D$4:$D$33,MATCH($B85,'Intervals'!$A$4:$A$33,0)))),""),""))</f>
        <v/>
      </c>
      <c r="H85" s="19">
        <f>IF($A85="","",IFERROR(IF(N(INDEX('Cars'!$H$4:$H$103,MATCH($A85,'Cars'!$A$4:$A$103,0)))&gt;0,INDEX('Cars'!$H$4:$H$103,MATCH($A85,'Cars'!$A$4:$A$103,0)),""),""))</f>
        <v/>
      </c>
      <c r="I85" s="19">
        <f>IF(OR($F85="",$H85=""),"",$F85-$H85)</f>
        <v/>
      </c>
      <c r="J85" s="21">
        <f>IF($G85="","",$G85-TODAY())</f>
        <v/>
      </c>
      <c r="K85" s="21">
        <f>IF($I85="","",IFERROR(IF(N(INDEX('Cars'!$J$4:$J$103,MATCH($A85,'Cars'!$A$4:$A$103,0)))&gt;0,ROUND($I85/INDEX('Cars'!$J$4:$J$103,MATCH($A85,'Cars'!$A$4:$A$103,0))*30,0),""),""))</f>
        <v/>
      </c>
      <c r="L85" s="21">
        <f>IF(AND($J85="",$K85=""),"",MIN(IF($J85="",99999,$J85),IF($K85="",99999,$K85)))</f>
        <v/>
      </c>
      <c r="M85" s="16">
        <f>IF(AND($I85="",$J85=""),"",IF(OR(AND($I85&lt;&gt;"",N($I85)&lt;0),AND($J85&lt;&gt;"",N($J85)&lt;0)),"Overdue",IF(OR(AND($I85&lt;&gt;"",N($I85)&lt;=IFERROR(INDEX('Intervals'!$E$4:$E$33,MATCH($B85,'Intervals'!$A$4:$A$33,0)),500)),AND($J85&lt;&gt;"",N($J85)&lt;=IFERROR(INDEX('Intervals'!$F$4:$F$33,MATCH($B85,'Intervals'!$A$4:$A$33,0)),14))),"Due soon","OK")))</f>
        <v/>
      </c>
      <c r="N85" s="15" t="n"/>
      <c r="O85" s="22">
        <f>IF(OR($M85="",$M85="OK"),"",$L85+ROW()/100000)</f>
        <v/>
      </c>
    </row>
    <row r="86">
      <c r="A86" s="15" t="n"/>
      <c r="B86" s="15" t="n"/>
      <c r="C86" s="16">
        <f>IF($B86="","",IFERROR(INDEX('Intervals'!$B$4:$B$33,MATCH($B86,'Intervals'!$A$4:$A$33,0)),""))</f>
        <v/>
      </c>
      <c r="D86" s="17" t="n"/>
      <c r="E86" s="18" t="n"/>
      <c r="F86" s="19">
        <f>IF(OR($B86="",$E86=""),"",IFERROR(IF(AND(INDEX('Intervals'!$G$4:$G$33,MATCH($B86,'Intervals'!$A$4:$A$33,0))&lt;&gt;"No",N(INDEX('Intervals'!$C$4:$C$33,MATCH($B86,'Intervals'!$A$4:$A$33,0)))&gt;0),$E86+N(INDEX('Intervals'!$C$4:$C$33,MATCH($B86,'Intervals'!$A$4:$A$33,0))),""),""))</f>
        <v/>
      </c>
      <c r="G86" s="20">
        <f>IF(OR($B86="",$D86=""),"",IFERROR(IF(AND(INDEX('Intervals'!$G$4:$G$33,MATCH($B86,'Intervals'!$A$4:$A$33,0))&lt;&gt;"No",N(INDEX('Intervals'!$D$4:$D$33,MATCH($B86,'Intervals'!$A$4:$A$33,0)))&gt;0),EDATE($D86,N(INDEX('Intervals'!$D$4:$D$33,MATCH($B86,'Intervals'!$A$4:$A$33,0)))),""),""))</f>
        <v/>
      </c>
      <c r="H86" s="19">
        <f>IF($A86="","",IFERROR(IF(N(INDEX('Cars'!$H$4:$H$103,MATCH($A86,'Cars'!$A$4:$A$103,0)))&gt;0,INDEX('Cars'!$H$4:$H$103,MATCH($A86,'Cars'!$A$4:$A$103,0)),""),""))</f>
        <v/>
      </c>
      <c r="I86" s="19">
        <f>IF(OR($F86="",$H86=""),"",$F86-$H86)</f>
        <v/>
      </c>
      <c r="J86" s="21">
        <f>IF($G86="","",$G86-TODAY())</f>
        <v/>
      </c>
      <c r="K86" s="21">
        <f>IF($I86="","",IFERROR(IF(N(INDEX('Cars'!$J$4:$J$103,MATCH($A86,'Cars'!$A$4:$A$103,0)))&gt;0,ROUND($I86/INDEX('Cars'!$J$4:$J$103,MATCH($A86,'Cars'!$A$4:$A$103,0))*30,0),""),""))</f>
        <v/>
      </c>
      <c r="L86" s="21">
        <f>IF(AND($J86="",$K86=""),"",MIN(IF($J86="",99999,$J86),IF($K86="",99999,$K86)))</f>
        <v/>
      </c>
      <c r="M86" s="16">
        <f>IF(AND($I86="",$J86=""),"",IF(OR(AND($I86&lt;&gt;"",N($I86)&lt;0),AND($J86&lt;&gt;"",N($J86)&lt;0)),"Overdue",IF(OR(AND($I86&lt;&gt;"",N($I86)&lt;=IFERROR(INDEX('Intervals'!$E$4:$E$33,MATCH($B86,'Intervals'!$A$4:$A$33,0)),500)),AND($J86&lt;&gt;"",N($J86)&lt;=IFERROR(INDEX('Intervals'!$F$4:$F$33,MATCH($B86,'Intervals'!$A$4:$A$33,0)),14))),"Due soon","OK")))</f>
        <v/>
      </c>
      <c r="N86" s="15" t="n"/>
      <c r="O86" s="22">
        <f>IF(OR($M86="",$M86="OK"),"",$L86+ROW()/100000)</f>
        <v/>
      </c>
    </row>
    <row r="87">
      <c r="A87" s="15" t="n"/>
      <c r="B87" s="15" t="n"/>
      <c r="C87" s="16">
        <f>IF($B87="","",IFERROR(INDEX('Intervals'!$B$4:$B$33,MATCH($B87,'Intervals'!$A$4:$A$33,0)),""))</f>
        <v/>
      </c>
      <c r="D87" s="17" t="n"/>
      <c r="E87" s="18" t="n"/>
      <c r="F87" s="19">
        <f>IF(OR($B87="",$E87=""),"",IFERROR(IF(AND(INDEX('Intervals'!$G$4:$G$33,MATCH($B87,'Intervals'!$A$4:$A$33,0))&lt;&gt;"No",N(INDEX('Intervals'!$C$4:$C$33,MATCH($B87,'Intervals'!$A$4:$A$33,0)))&gt;0),$E87+N(INDEX('Intervals'!$C$4:$C$33,MATCH($B87,'Intervals'!$A$4:$A$33,0))),""),""))</f>
        <v/>
      </c>
      <c r="G87" s="20">
        <f>IF(OR($B87="",$D87=""),"",IFERROR(IF(AND(INDEX('Intervals'!$G$4:$G$33,MATCH($B87,'Intervals'!$A$4:$A$33,0))&lt;&gt;"No",N(INDEX('Intervals'!$D$4:$D$33,MATCH($B87,'Intervals'!$A$4:$A$33,0)))&gt;0),EDATE($D87,N(INDEX('Intervals'!$D$4:$D$33,MATCH($B87,'Intervals'!$A$4:$A$33,0)))),""),""))</f>
        <v/>
      </c>
      <c r="H87" s="19">
        <f>IF($A87="","",IFERROR(IF(N(INDEX('Cars'!$H$4:$H$103,MATCH($A87,'Cars'!$A$4:$A$103,0)))&gt;0,INDEX('Cars'!$H$4:$H$103,MATCH($A87,'Cars'!$A$4:$A$103,0)),""),""))</f>
        <v/>
      </c>
      <c r="I87" s="19">
        <f>IF(OR($F87="",$H87=""),"",$F87-$H87)</f>
        <v/>
      </c>
      <c r="J87" s="21">
        <f>IF($G87="","",$G87-TODAY())</f>
        <v/>
      </c>
      <c r="K87" s="21">
        <f>IF($I87="","",IFERROR(IF(N(INDEX('Cars'!$J$4:$J$103,MATCH($A87,'Cars'!$A$4:$A$103,0)))&gt;0,ROUND($I87/INDEX('Cars'!$J$4:$J$103,MATCH($A87,'Cars'!$A$4:$A$103,0))*30,0),""),""))</f>
        <v/>
      </c>
      <c r="L87" s="21">
        <f>IF(AND($J87="",$K87=""),"",MIN(IF($J87="",99999,$J87),IF($K87="",99999,$K87)))</f>
        <v/>
      </c>
      <c r="M87" s="16">
        <f>IF(AND($I87="",$J87=""),"",IF(OR(AND($I87&lt;&gt;"",N($I87)&lt;0),AND($J87&lt;&gt;"",N($J87)&lt;0)),"Overdue",IF(OR(AND($I87&lt;&gt;"",N($I87)&lt;=IFERROR(INDEX('Intervals'!$E$4:$E$33,MATCH($B87,'Intervals'!$A$4:$A$33,0)),500)),AND($J87&lt;&gt;"",N($J87)&lt;=IFERROR(INDEX('Intervals'!$F$4:$F$33,MATCH($B87,'Intervals'!$A$4:$A$33,0)),14))),"Due soon","OK")))</f>
        <v/>
      </c>
      <c r="N87" s="15" t="n"/>
      <c r="O87" s="22">
        <f>IF(OR($M87="",$M87="OK"),"",$L87+ROW()/100000)</f>
        <v/>
      </c>
    </row>
    <row r="88">
      <c r="A88" s="15" t="n"/>
      <c r="B88" s="15" t="n"/>
      <c r="C88" s="16">
        <f>IF($B88="","",IFERROR(INDEX('Intervals'!$B$4:$B$33,MATCH($B88,'Intervals'!$A$4:$A$33,0)),""))</f>
        <v/>
      </c>
      <c r="D88" s="17" t="n"/>
      <c r="E88" s="18" t="n"/>
      <c r="F88" s="19">
        <f>IF(OR($B88="",$E88=""),"",IFERROR(IF(AND(INDEX('Intervals'!$G$4:$G$33,MATCH($B88,'Intervals'!$A$4:$A$33,0))&lt;&gt;"No",N(INDEX('Intervals'!$C$4:$C$33,MATCH($B88,'Intervals'!$A$4:$A$33,0)))&gt;0),$E88+N(INDEX('Intervals'!$C$4:$C$33,MATCH($B88,'Intervals'!$A$4:$A$33,0))),""),""))</f>
        <v/>
      </c>
      <c r="G88" s="20">
        <f>IF(OR($B88="",$D88=""),"",IFERROR(IF(AND(INDEX('Intervals'!$G$4:$G$33,MATCH($B88,'Intervals'!$A$4:$A$33,0))&lt;&gt;"No",N(INDEX('Intervals'!$D$4:$D$33,MATCH($B88,'Intervals'!$A$4:$A$33,0)))&gt;0),EDATE($D88,N(INDEX('Intervals'!$D$4:$D$33,MATCH($B88,'Intervals'!$A$4:$A$33,0)))),""),""))</f>
        <v/>
      </c>
      <c r="H88" s="19">
        <f>IF($A88="","",IFERROR(IF(N(INDEX('Cars'!$H$4:$H$103,MATCH($A88,'Cars'!$A$4:$A$103,0)))&gt;0,INDEX('Cars'!$H$4:$H$103,MATCH($A88,'Cars'!$A$4:$A$103,0)),""),""))</f>
        <v/>
      </c>
      <c r="I88" s="19">
        <f>IF(OR($F88="",$H88=""),"",$F88-$H88)</f>
        <v/>
      </c>
      <c r="J88" s="21">
        <f>IF($G88="","",$G88-TODAY())</f>
        <v/>
      </c>
      <c r="K88" s="21">
        <f>IF($I88="","",IFERROR(IF(N(INDEX('Cars'!$J$4:$J$103,MATCH($A88,'Cars'!$A$4:$A$103,0)))&gt;0,ROUND($I88/INDEX('Cars'!$J$4:$J$103,MATCH($A88,'Cars'!$A$4:$A$103,0))*30,0),""),""))</f>
        <v/>
      </c>
      <c r="L88" s="21">
        <f>IF(AND($J88="",$K88=""),"",MIN(IF($J88="",99999,$J88),IF($K88="",99999,$K88)))</f>
        <v/>
      </c>
      <c r="M88" s="16">
        <f>IF(AND($I88="",$J88=""),"",IF(OR(AND($I88&lt;&gt;"",N($I88)&lt;0),AND($J88&lt;&gt;"",N($J88)&lt;0)),"Overdue",IF(OR(AND($I88&lt;&gt;"",N($I88)&lt;=IFERROR(INDEX('Intervals'!$E$4:$E$33,MATCH($B88,'Intervals'!$A$4:$A$33,0)),500)),AND($J88&lt;&gt;"",N($J88)&lt;=IFERROR(INDEX('Intervals'!$F$4:$F$33,MATCH($B88,'Intervals'!$A$4:$A$33,0)),14))),"Due soon","OK")))</f>
        <v/>
      </c>
      <c r="N88" s="15" t="n"/>
      <c r="O88" s="22">
        <f>IF(OR($M88="",$M88="OK"),"",$L88+ROW()/100000)</f>
        <v/>
      </c>
    </row>
    <row r="89">
      <c r="A89" s="15" t="n"/>
      <c r="B89" s="15" t="n"/>
      <c r="C89" s="16">
        <f>IF($B89="","",IFERROR(INDEX('Intervals'!$B$4:$B$33,MATCH($B89,'Intervals'!$A$4:$A$33,0)),""))</f>
        <v/>
      </c>
      <c r="D89" s="17" t="n"/>
      <c r="E89" s="18" t="n"/>
      <c r="F89" s="19">
        <f>IF(OR($B89="",$E89=""),"",IFERROR(IF(AND(INDEX('Intervals'!$G$4:$G$33,MATCH($B89,'Intervals'!$A$4:$A$33,0))&lt;&gt;"No",N(INDEX('Intervals'!$C$4:$C$33,MATCH($B89,'Intervals'!$A$4:$A$33,0)))&gt;0),$E89+N(INDEX('Intervals'!$C$4:$C$33,MATCH($B89,'Intervals'!$A$4:$A$33,0))),""),""))</f>
        <v/>
      </c>
      <c r="G89" s="20">
        <f>IF(OR($B89="",$D89=""),"",IFERROR(IF(AND(INDEX('Intervals'!$G$4:$G$33,MATCH($B89,'Intervals'!$A$4:$A$33,0))&lt;&gt;"No",N(INDEX('Intervals'!$D$4:$D$33,MATCH($B89,'Intervals'!$A$4:$A$33,0)))&gt;0),EDATE($D89,N(INDEX('Intervals'!$D$4:$D$33,MATCH($B89,'Intervals'!$A$4:$A$33,0)))),""),""))</f>
        <v/>
      </c>
      <c r="H89" s="19">
        <f>IF($A89="","",IFERROR(IF(N(INDEX('Cars'!$H$4:$H$103,MATCH($A89,'Cars'!$A$4:$A$103,0)))&gt;0,INDEX('Cars'!$H$4:$H$103,MATCH($A89,'Cars'!$A$4:$A$103,0)),""),""))</f>
        <v/>
      </c>
      <c r="I89" s="19">
        <f>IF(OR($F89="",$H89=""),"",$F89-$H89)</f>
        <v/>
      </c>
      <c r="J89" s="21">
        <f>IF($G89="","",$G89-TODAY())</f>
        <v/>
      </c>
      <c r="K89" s="21">
        <f>IF($I89="","",IFERROR(IF(N(INDEX('Cars'!$J$4:$J$103,MATCH($A89,'Cars'!$A$4:$A$103,0)))&gt;0,ROUND($I89/INDEX('Cars'!$J$4:$J$103,MATCH($A89,'Cars'!$A$4:$A$103,0))*30,0),""),""))</f>
        <v/>
      </c>
      <c r="L89" s="21">
        <f>IF(AND($J89="",$K89=""),"",MIN(IF($J89="",99999,$J89),IF($K89="",99999,$K89)))</f>
        <v/>
      </c>
      <c r="M89" s="16">
        <f>IF(AND($I89="",$J89=""),"",IF(OR(AND($I89&lt;&gt;"",N($I89)&lt;0),AND($J89&lt;&gt;"",N($J89)&lt;0)),"Overdue",IF(OR(AND($I89&lt;&gt;"",N($I89)&lt;=IFERROR(INDEX('Intervals'!$E$4:$E$33,MATCH($B89,'Intervals'!$A$4:$A$33,0)),500)),AND($J89&lt;&gt;"",N($J89)&lt;=IFERROR(INDEX('Intervals'!$F$4:$F$33,MATCH($B89,'Intervals'!$A$4:$A$33,0)),14))),"Due soon","OK")))</f>
        <v/>
      </c>
      <c r="N89" s="15" t="n"/>
      <c r="O89" s="22">
        <f>IF(OR($M89="",$M89="OK"),"",$L89+ROW()/100000)</f>
        <v/>
      </c>
    </row>
    <row r="90">
      <c r="A90" s="15" t="n"/>
      <c r="B90" s="15" t="n"/>
      <c r="C90" s="16">
        <f>IF($B90="","",IFERROR(INDEX('Intervals'!$B$4:$B$33,MATCH($B90,'Intervals'!$A$4:$A$33,0)),""))</f>
        <v/>
      </c>
      <c r="D90" s="17" t="n"/>
      <c r="E90" s="18" t="n"/>
      <c r="F90" s="19">
        <f>IF(OR($B90="",$E90=""),"",IFERROR(IF(AND(INDEX('Intervals'!$G$4:$G$33,MATCH($B90,'Intervals'!$A$4:$A$33,0))&lt;&gt;"No",N(INDEX('Intervals'!$C$4:$C$33,MATCH($B90,'Intervals'!$A$4:$A$33,0)))&gt;0),$E90+N(INDEX('Intervals'!$C$4:$C$33,MATCH($B90,'Intervals'!$A$4:$A$33,0))),""),""))</f>
        <v/>
      </c>
      <c r="G90" s="20">
        <f>IF(OR($B90="",$D90=""),"",IFERROR(IF(AND(INDEX('Intervals'!$G$4:$G$33,MATCH($B90,'Intervals'!$A$4:$A$33,0))&lt;&gt;"No",N(INDEX('Intervals'!$D$4:$D$33,MATCH($B90,'Intervals'!$A$4:$A$33,0)))&gt;0),EDATE($D90,N(INDEX('Intervals'!$D$4:$D$33,MATCH($B90,'Intervals'!$A$4:$A$33,0)))),""),""))</f>
        <v/>
      </c>
      <c r="H90" s="19">
        <f>IF($A90="","",IFERROR(IF(N(INDEX('Cars'!$H$4:$H$103,MATCH($A90,'Cars'!$A$4:$A$103,0)))&gt;0,INDEX('Cars'!$H$4:$H$103,MATCH($A90,'Cars'!$A$4:$A$103,0)),""),""))</f>
        <v/>
      </c>
      <c r="I90" s="19">
        <f>IF(OR($F90="",$H90=""),"",$F90-$H90)</f>
        <v/>
      </c>
      <c r="J90" s="21">
        <f>IF($G90="","",$G90-TODAY())</f>
        <v/>
      </c>
      <c r="K90" s="21">
        <f>IF($I90="","",IFERROR(IF(N(INDEX('Cars'!$J$4:$J$103,MATCH($A90,'Cars'!$A$4:$A$103,0)))&gt;0,ROUND($I90/INDEX('Cars'!$J$4:$J$103,MATCH($A90,'Cars'!$A$4:$A$103,0))*30,0),""),""))</f>
        <v/>
      </c>
      <c r="L90" s="21">
        <f>IF(AND($J90="",$K90=""),"",MIN(IF($J90="",99999,$J90),IF($K90="",99999,$K90)))</f>
        <v/>
      </c>
      <c r="M90" s="16">
        <f>IF(AND($I90="",$J90=""),"",IF(OR(AND($I90&lt;&gt;"",N($I90)&lt;0),AND($J90&lt;&gt;"",N($J90)&lt;0)),"Overdue",IF(OR(AND($I90&lt;&gt;"",N($I90)&lt;=IFERROR(INDEX('Intervals'!$E$4:$E$33,MATCH($B90,'Intervals'!$A$4:$A$33,0)),500)),AND($J90&lt;&gt;"",N($J90)&lt;=IFERROR(INDEX('Intervals'!$F$4:$F$33,MATCH($B90,'Intervals'!$A$4:$A$33,0)),14))),"Due soon","OK")))</f>
        <v/>
      </c>
      <c r="N90" s="15" t="n"/>
      <c r="O90" s="22">
        <f>IF(OR($M90="",$M90="OK"),"",$L90+ROW()/100000)</f>
        <v/>
      </c>
    </row>
    <row r="91">
      <c r="A91" s="15" t="n"/>
      <c r="B91" s="15" t="n"/>
      <c r="C91" s="16">
        <f>IF($B91="","",IFERROR(INDEX('Intervals'!$B$4:$B$33,MATCH($B91,'Intervals'!$A$4:$A$33,0)),""))</f>
        <v/>
      </c>
      <c r="D91" s="17" t="n"/>
      <c r="E91" s="18" t="n"/>
      <c r="F91" s="19">
        <f>IF(OR($B91="",$E91=""),"",IFERROR(IF(AND(INDEX('Intervals'!$G$4:$G$33,MATCH($B91,'Intervals'!$A$4:$A$33,0))&lt;&gt;"No",N(INDEX('Intervals'!$C$4:$C$33,MATCH($B91,'Intervals'!$A$4:$A$33,0)))&gt;0),$E91+N(INDEX('Intervals'!$C$4:$C$33,MATCH($B91,'Intervals'!$A$4:$A$33,0))),""),""))</f>
        <v/>
      </c>
      <c r="G91" s="20">
        <f>IF(OR($B91="",$D91=""),"",IFERROR(IF(AND(INDEX('Intervals'!$G$4:$G$33,MATCH($B91,'Intervals'!$A$4:$A$33,0))&lt;&gt;"No",N(INDEX('Intervals'!$D$4:$D$33,MATCH($B91,'Intervals'!$A$4:$A$33,0)))&gt;0),EDATE($D91,N(INDEX('Intervals'!$D$4:$D$33,MATCH($B91,'Intervals'!$A$4:$A$33,0)))),""),""))</f>
        <v/>
      </c>
      <c r="H91" s="19">
        <f>IF($A91="","",IFERROR(IF(N(INDEX('Cars'!$H$4:$H$103,MATCH($A91,'Cars'!$A$4:$A$103,0)))&gt;0,INDEX('Cars'!$H$4:$H$103,MATCH($A91,'Cars'!$A$4:$A$103,0)),""),""))</f>
        <v/>
      </c>
      <c r="I91" s="19">
        <f>IF(OR($F91="",$H91=""),"",$F91-$H91)</f>
        <v/>
      </c>
      <c r="J91" s="21">
        <f>IF($G91="","",$G91-TODAY())</f>
        <v/>
      </c>
      <c r="K91" s="21">
        <f>IF($I91="","",IFERROR(IF(N(INDEX('Cars'!$J$4:$J$103,MATCH($A91,'Cars'!$A$4:$A$103,0)))&gt;0,ROUND($I91/INDEX('Cars'!$J$4:$J$103,MATCH($A91,'Cars'!$A$4:$A$103,0))*30,0),""),""))</f>
        <v/>
      </c>
      <c r="L91" s="21">
        <f>IF(AND($J91="",$K91=""),"",MIN(IF($J91="",99999,$J91),IF($K91="",99999,$K91)))</f>
        <v/>
      </c>
      <c r="M91" s="16">
        <f>IF(AND($I91="",$J91=""),"",IF(OR(AND($I91&lt;&gt;"",N($I91)&lt;0),AND($J91&lt;&gt;"",N($J91)&lt;0)),"Overdue",IF(OR(AND($I91&lt;&gt;"",N($I91)&lt;=IFERROR(INDEX('Intervals'!$E$4:$E$33,MATCH($B91,'Intervals'!$A$4:$A$33,0)),500)),AND($J91&lt;&gt;"",N($J91)&lt;=IFERROR(INDEX('Intervals'!$F$4:$F$33,MATCH($B91,'Intervals'!$A$4:$A$33,0)),14))),"Due soon","OK")))</f>
        <v/>
      </c>
      <c r="N91" s="15" t="n"/>
      <c r="O91" s="22">
        <f>IF(OR($M91="",$M91="OK"),"",$L91+ROW()/100000)</f>
        <v/>
      </c>
    </row>
    <row r="92">
      <c r="A92" s="15" t="n"/>
      <c r="B92" s="15" t="n"/>
      <c r="C92" s="16">
        <f>IF($B92="","",IFERROR(INDEX('Intervals'!$B$4:$B$33,MATCH($B92,'Intervals'!$A$4:$A$33,0)),""))</f>
        <v/>
      </c>
      <c r="D92" s="17" t="n"/>
      <c r="E92" s="18" t="n"/>
      <c r="F92" s="19">
        <f>IF(OR($B92="",$E92=""),"",IFERROR(IF(AND(INDEX('Intervals'!$G$4:$G$33,MATCH($B92,'Intervals'!$A$4:$A$33,0))&lt;&gt;"No",N(INDEX('Intervals'!$C$4:$C$33,MATCH($B92,'Intervals'!$A$4:$A$33,0)))&gt;0),$E92+N(INDEX('Intervals'!$C$4:$C$33,MATCH($B92,'Intervals'!$A$4:$A$33,0))),""),""))</f>
        <v/>
      </c>
      <c r="G92" s="20">
        <f>IF(OR($B92="",$D92=""),"",IFERROR(IF(AND(INDEX('Intervals'!$G$4:$G$33,MATCH($B92,'Intervals'!$A$4:$A$33,0))&lt;&gt;"No",N(INDEX('Intervals'!$D$4:$D$33,MATCH($B92,'Intervals'!$A$4:$A$33,0)))&gt;0),EDATE($D92,N(INDEX('Intervals'!$D$4:$D$33,MATCH($B92,'Intervals'!$A$4:$A$33,0)))),""),""))</f>
        <v/>
      </c>
      <c r="H92" s="19">
        <f>IF($A92="","",IFERROR(IF(N(INDEX('Cars'!$H$4:$H$103,MATCH($A92,'Cars'!$A$4:$A$103,0)))&gt;0,INDEX('Cars'!$H$4:$H$103,MATCH($A92,'Cars'!$A$4:$A$103,0)),""),""))</f>
        <v/>
      </c>
      <c r="I92" s="19">
        <f>IF(OR($F92="",$H92=""),"",$F92-$H92)</f>
        <v/>
      </c>
      <c r="J92" s="21">
        <f>IF($G92="","",$G92-TODAY())</f>
        <v/>
      </c>
      <c r="K92" s="21">
        <f>IF($I92="","",IFERROR(IF(N(INDEX('Cars'!$J$4:$J$103,MATCH($A92,'Cars'!$A$4:$A$103,0)))&gt;0,ROUND($I92/INDEX('Cars'!$J$4:$J$103,MATCH($A92,'Cars'!$A$4:$A$103,0))*30,0),""),""))</f>
        <v/>
      </c>
      <c r="L92" s="21">
        <f>IF(AND($J92="",$K92=""),"",MIN(IF($J92="",99999,$J92),IF($K92="",99999,$K92)))</f>
        <v/>
      </c>
      <c r="M92" s="16">
        <f>IF(AND($I92="",$J92=""),"",IF(OR(AND($I92&lt;&gt;"",N($I92)&lt;0),AND($J92&lt;&gt;"",N($J92)&lt;0)),"Overdue",IF(OR(AND($I92&lt;&gt;"",N($I92)&lt;=IFERROR(INDEX('Intervals'!$E$4:$E$33,MATCH($B92,'Intervals'!$A$4:$A$33,0)),500)),AND($J92&lt;&gt;"",N($J92)&lt;=IFERROR(INDEX('Intervals'!$F$4:$F$33,MATCH($B92,'Intervals'!$A$4:$A$33,0)),14))),"Due soon","OK")))</f>
        <v/>
      </c>
      <c r="N92" s="15" t="n"/>
      <c r="O92" s="22">
        <f>IF(OR($M92="",$M92="OK"),"",$L92+ROW()/100000)</f>
        <v/>
      </c>
    </row>
    <row r="93">
      <c r="A93" s="15" t="n"/>
      <c r="B93" s="15" t="n"/>
      <c r="C93" s="16">
        <f>IF($B93="","",IFERROR(INDEX('Intervals'!$B$4:$B$33,MATCH($B93,'Intervals'!$A$4:$A$33,0)),""))</f>
        <v/>
      </c>
      <c r="D93" s="17" t="n"/>
      <c r="E93" s="18" t="n"/>
      <c r="F93" s="19">
        <f>IF(OR($B93="",$E93=""),"",IFERROR(IF(AND(INDEX('Intervals'!$G$4:$G$33,MATCH($B93,'Intervals'!$A$4:$A$33,0))&lt;&gt;"No",N(INDEX('Intervals'!$C$4:$C$33,MATCH($B93,'Intervals'!$A$4:$A$33,0)))&gt;0),$E93+N(INDEX('Intervals'!$C$4:$C$33,MATCH($B93,'Intervals'!$A$4:$A$33,0))),""),""))</f>
        <v/>
      </c>
      <c r="G93" s="20">
        <f>IF(OR($B93="",$D93=""),"",IFERROR(IF(AND(INDEX('Intervals'!$G$4:$G$33,MATCH($B93,'Intervals'!$A$4:$A$33,0))&lt;&gt;"No",N(INDEX('Intervals'!$D$4:$D$33,MATCH($B93,'Intervals'!$A$4:$A$33,0)))&gt;0),EDATE($D93,N(INDEX('Intervals'!$D$4:$D$33,MATCH($B93,'Intervals'!$A$4:$A$33,0)))),""),""))</f>
        <v/>
      </c>
      <c r="H93" s="19">
        <f>IF($A93="","",IFERROR(IF(N(INDEX('Cars'!$H$4:$H$103,MATCH($A93,'Cars'!$A$4:$A$103,0)))&gt;0,INDEX('Cars'!$H$4:$H$103,MATCH($A93,'Cars'!$A$4:$A$103,0)),""),""))</f>
        <v/>
      </c>
      <c r="I93" s="19">
        <f>IF(OR($F93="",$H93=""),"",$F93-$H93)</f>
        <v/>
      </c>
      <c r="J93" s="21">
        <f>IF($G93="","",$G93-TODAY())</f>
        <v/>
      </c>
      <c r="K93" s="21">
        <f>IF($I93="","",IFERROR(IF(N(INDEX('Cars'!$J$4:$J$103,MATCH($A93,'Cars'!$A$4:$A$103,0)))&gt;0,ROUND($I93/INDEX('Cars'!$J$4:$J$103,MATCH($A93,'Cars'!$A$4:$A$103,0))*30,0),""),""))</f>
        <v/>
      </c>
      <c r="L93" s="21">
        <f>IF(AND($J93="",$K93=""),"",MIN(IF($J93="",99999,$J93),IF($K93="",99999,$K93)))</f>
        <v/>
      </c>
      <c r="M93" s="16">
        <f>IF(AND($I93="",$J93=""),"",IF(OR(AND($I93&lt;&gt;"",N($I93)&lt;0),AND($J93&lt;&gt;"",N($J93)&lt;0)),"Overdue",IF(OR(AND($I93&lt;&gt;"",N($I93)&lt;=IFERROR(INDEX('Intervals'!$E$4:$E$33,MATCH($B93,'Intervals'!$A$4:$A$33,0)),500)),AND($J93&lt;&gt;"",N($J93)&lt;=IFERROR(INDEX('Intervals'!$F$4:$F$33,MATCH($B93,'Intervals'!$A$4:$A$33,0)),14))),"Due soon","OK")))</f>
        <v/>
      </c>
      <c r="N93" s="15" t="n"/>
      <c r="O93" s="22">
        <f>IF(OR($M93="",$M93="OK"),"",$L93+ROW()/100000)</f>
        <v/>
      </c>
    </row>
    <row r="94">
      <c r="A94" s="15" t="n"/>
      <c r="B94" s="15" t="n"/>
      <c r="C94" s="16">
        <f>IF($B94="","",IFERROR(INDEX('Intervals'!$B$4:$B$33,MATCH($B94,'Intervals'!$A$4:$A$33,0)),""))</f>
        <v/>
      </c>
      <c r="D94" s="17" t="n"/>
      <c r="E94" s="18" t="n"/>
      <c r="F94" s="19">
        <f>IF(OR($B94="",$E94=""),"",IFERROR(IF(AND(INDEX('Intervals'!$G$4:$G$33,MATCH($B94,'Intervals'!$A$4:$A$33,0))&lt;&gt;"No",N(INDEX('Intervals'!$C$4:$C$33,MATCH($B94,'Intervals'!$A$4:$A$33,0)))&gt;0),$E94+N(INDEX('Intervals'!$C$4:$C$33,MATCH($B94,'Intervals'!$A$4:$A$33,0))),""),""))</f>
        <v/>
      </c>
      <c r="G94" s="20">
        <f>IF(OR($B94="",$D94=""),"",IFERROR(IF(AND(INDEX('Intervals'!$G$4:$G$33,MATCH($B94,'Intervals'!$A$4:$A$33,0))&lt;&gt;"No",N(INDEX('Intervals'!$D$4:$D$33,MATCH($B94,'Intervals'!$A$4:$A$33,0)))&gt;0),EDATE($D94,N(INDEX('Intervals'!$D$4:$D$33,MATCH($B94,'Intervals'!$A$4:$A$33,0)))),""),""))</f>
        <v/>
      </c>
      <c r="H94" s="19">
        <f>IF($A94="","",IFERROR(IF(N(INDEX('Cars'!$H$4:$H$103,MATCH($A94,'Cars'!$A$4:$A$103,0)))&gt;0,INDEX('Cars'!$H$4:$H$103,MATCH($A94,'Cars'!$A$4:$A$103,0)),""),""))</f>
        <v/>
      </c>
      <c r="I94" s="19">
        <f>IF(OR($F94="",$H94=""),"",$F94-$H94)</f>
        <v/>
      </c>
      <c r="J94" s="21">
        <f>IF($G94="","",$G94-TODAY())</f>
        <v/>
      </c>
      <c r="K94" s="21">
        <f>IF($I94="","",IFERROR(IF(N(INDEX('Cars'!$J$4:$J$103,MATCH($A94,'Cars'!$A$4:$A$103,0)))&gt;0,ROUND($I94/INDEX('Cars'!$J$4:$J$103,MATCH($A94,'Cars'!$A$4:$A$103,0))*30,0),""),""))</f>
        <v/>
      </c>
      <c r="L94" s="21">
        <f>IF(AND($J94="",$K94=""),"",MIN(IF($J94="",99999,$J94),IF($K94="",99999,$K94)))</f>
        <v/>
      </c>
      <c r="M94" s="16">
        <f>IF(AND($I94="",$J94=""),"",IF(OR(AND($I94&lt;&gt;"",N($I94)&lt;0),AND($J94&lt;&gt;"",N($J94)&lt;0)),"Overdue",IF(OR(AND($I94&lt;&gt;"",N($I94)&lt;=IFERROR(INDEX('Intervals'!$E$4:$E$33,MATCH($B94,'Intervals'!$A$4:$A$33,0)),500)),AND($J94&lt;&gt;"",N($J94)&lt;=IFERROR(INDEX('Intervals'!$F$4:$F$33,MATCH($B94,'Intervals'!$A$4:$A$33,0)),14))),"Due soon","OK")))</f>
        <v/>
      </c>
      <c r="N94" s="15" t="n"/>
      <c r="O94" s="22">
        <f>IF(OR($M94="",$M94="OK"),"",$L94+ROW()/100000)</f>
        <v/>
      </c>
    </row>
    <row r="95">
      <c r="A95" s="15" t="n"/>
      <c r="B95" s="15" t="n"/>
      <c r="C95" s="16">
        <f>IF($B95="","",IFERROR(INDEX('Intervals'!$B$4:$B$33,MATCH($B95,'Intervals'!$A$4:$A$33,0)),""))</f>
        <v/>
      </c>
      <c r="D95" s="17" t="n"/>
      <c r="E95" s="18" t="n"/>
      <c r="F95" s="19">
        <f>IF(OR($B95="",$E95=""),"",IFERROR(IF(AND(INDEX('Intervals'!$G$4:$G$33,MATCH($B95,'Intervals'!$A$4:$A$33,0))&lt;&gt;"No",N(INDEX('Intervals'!$C$4:$C$33,MATCH($B95,'Intervals'!$A$4:$A$33,0)))&gt;0),$E95+N(INDEX('Intervals'!$C$4:$C$33,MATCH($B95,'Intervals'!$A$4:$A$33,0))),""),""))</f>
        <v/>
      </c>
      <c r="G95" s="20">
        <f>IF(OR($B95="",$D95=""),"",IFERROR(IF(AND(INDEX('Intervals'!$G$4:$G$33,MATCH($B95,'Intervals'!$A$4:$A$33,0))&lt;&gt;"No",N(INDEX('Intervals'!$D$4:$D$33,MATCH($B95,'Intervals'!$A$4:$A$33,0)))&gt;0),EDATE($D95,N(INDEX('Intervals'!$D$4:$D$33,MATCH($B95,'Intervals'!$A$4:$A$33,0)))),""),""))</f>
        <v/>
      </c>
      <c r="H95" s="19">
        <f>IF($A95="","",IFERROR(IF(N(INDEX('Cars'!$H$4:$H$103,MATCH($A95,'Cars'!$A$4:$A$103,0)))&gt;0,INDEX('Cars'!$H$4:$H$103,MATCH($A95,'Cars'!$A$4:$A$103,0)),""),""))</f>
        <v/>
      </c>
      <c r="I95" s="19">
        <f>IF(OR($F95="",$H95=""),"",$F95-$H95)</f>
        <v/>
      </c>
      <c r="J95" s="21">
        <f>IF($G95="","",$G95-TODAY())</f>
        <v/>
      </c>
      <c r="K95" s="21">
        <f>IF($I95="","",IFERROR(IF(N(INDEX('Cars'!$J$4:$J$103,MATCH($A95,'Cars'!$A$4:$A$103,0)))&gt;0,ROUND($I95/INDEX('Cars'!$J$4:$J$103,MATCH($A95,'Cars'!$A$4:$A$103,0))*30,0),""),""))</f>
        <v/>
      </c>
      <c r="L95" s="21">
        <f>IF(AND($J95="",$K95=""),"",MIN(IF($J95="",99999,$J95),IF($K95="",99999,$K95)))</f>
        <v/>
      </c>
      <c r="M95" s="16">
        <f>IF(AND($I95="",$J95=""),"",IF(OR(AND($I95&lt;&gt;"",N($I95)&lt;0),AND($J95&lt;&gt;"",N($J95)&lt;0)),"Overdue",IF(OR(AND($I95&lt;&gt;"",N($I95)&lt;=IFERROR(INDEX('Intervals'!$E$4:$E$33,MATCH($B95,'Intervals'!$A$4:$A$33,0)),500)),AND($J95&lt;&gt;"",N($J95)&lt;=IFERROR(INDEX('Intervals'!$F$4:$F$33,MATCH($B95,'Intervals'!$A$4:$A$33,0)),14))),"Due soon","OK")))</f>
        <v/>
      </c>
      <c r="N95" s="15" t="n"/>
      <c r="O95" s="22">
        <f>IF(OR($M95="",$M95="OK"),"",$L95+ROW()/100000)</f>
        <v/>
      </c>
    </row>
    <row r="96">
      <c r="A96" s="15" t="n"/>
      <c r="B96" s="15" t="n"/>
      <c r="C96" s="16">
        <f>IF($B96="","",IFERROR(INDEX('Intervals'!$B$4:$B$33,MATCH($B96,'Intervals'!$A$4:$A$33,0)),""))</f>
        <v/>
      </c>
      <c r="D96" s="17" t="n"/>
      <c r="E96" s="18" t="n"/>
      <c r="F96" s="19">
        <f>IF(OR($B96="",$E96=""),"",IFERROR(IF(AND(INDEX('Intervals'!$G$4:$G$33,MATCH($B96,'Intervals'!$A$4:$A$33,0))&lt;&gt;"No",N(INDEX('Intervals'!$C$4:$C$33,MATCH($B96,'Intervals'!$A$4:$A$33,0)))&gt;0),$E96+N(INDEX('Intervals'!$C$4:$C$33,MATCH($B96,'Intervals'!$A$4:$A$33,0))),""),""))</f>
        <v/>
      </c>
      <c r="G96" s="20">
        <f>IF(OR($B96="",$D96=""),"",IFERROR(IF(AND(INDEX('Intervals'!$G$4:$G$33,MATCH($B96,'Intervals'!$A$4:$A$33,0))&lt;&gt;"No",N(INDEX('Intervals'!$D$4:$D$33,MATCH($B96,'Intervals'!$A$4:$A$33,0)))&gt;0),EDATE($D96,N(INDEX('Intervals'!$D$4:$D$33,MATCH($B96,'Intervals'!$A$4:$A$33,0)))),""),""))</f>
        <v/>
      </c>
      <c r="H96" s="19">
        <f>IF($A96="","",IFERROR(IF(N(INDEX('Cars'!$H$4:$H$103,MATCH($A96,'Cars'!$A$4:$A$103,0)))&gt;0,INDEX('Cars'!$H$4:$H$103,MATCH($A96,'Cars'!$A$4:$A$103,0)),""),""))</f>
        <v/>
      </c>
      <c r="I96" s="19">
        <f>IF(OR($F96="",$H96=""),"",$F96-$H96)</f>
        <v/>
      </c>
      <c r="J96" s="21">
        <f>IF($G96="","",$G96-TODAY())</f>
        <v/>
      </c>
      <c r="K96" s="21">
        <f>IF($I96="","",IFERROR(IF(N(INDEX('Cars'!$J$4:$J$103,MATCH($A96,'Cars'!$A$4:$A$103,0)))&gt;0,ROUND($I96/INDEX('Cars'!$J$4:$J$103,MATCH($A96,'Cars'!$A$4:$A$103,0))*30,0),""),""))</f>
        <v/>
      </c>
      <c r="L96" s="21">
        <f>IF(AND($J96="",$K96=""),"",MIN(IF($J96="",99999,$J96),IF($K96="",99999,$K96)))</f>
        <v/>
      </c>
      <c r="M96" s="16">
        <f>IF(AND($I96="",$J96=""),"",IF(OR(AND($I96&lt;&gt;"",N($I96)&lt;0),AND($J96&lt;&gt;"",N($J96)&lt;0)),"Overdue",IF(OR(AND($I96&lt;&gt;"",N($I96)&lt;=IFERROR(INDEX('Intervals'!$E$4:$E$33,MATCH($B96,'Intervals'!$A$4:$A$33,0)),500)),AND($J96&lt;&gt;"",N($J96)&lt;=IFERROR(INDEX('Intervals'!$F$4:$F$33,MATCH($B96,'Intervals'!$A$4:$A$33,0)),14))),"Due soon","OK")))</f>
        <v/>
      </c>
      <c r="N96" s="15" t="n"/>
      <c r="O96" s="22">
        <f>IF(OR($M96="",$M96="OK"),"",$L96+ROW()/100000)</f>
        <v/>
      </c>
    </row>
    <row r="97">
      <c r="A97" s="15" t="n"/>
      <c r="B97" s="15" t="n"/>
      <c r="C97" s="16">
        <f>IF($B97="","",IFERROR(INDEX('Intervals'!$B$4:$B$33,MATCH($B97,'Intervals'!$A$4:$A$33,0)),""))</f>
        <v/>
      </c>
      <c r="D97" s="17" t="n"/>
      <c r="E97" s="18" t="n"/>
      <c r="F97" s="19">
        <f>IF(OR($B97="",$E97=""),"",IFERROR(IF(AND(INDEX('Intervals'!$G$4:$G$33,MATCH($B97,'Intervals'!$A$4:$A$33,0))&lt;&gt;"No",N(INDEX('Intervals'!$C$4:$C$33,MATCH($B97,'Intervals'!$A$4:$A$33,0)))&gt;0),$E97+N(INDEX('Intervals'!$C$4:$C$33,MATCH($B97,'Intervals'!$A$4:$A$33,0))),""),""))</f>
        <v/>
      </c>
      <c r="G97" s="20">
        <f>IF(OR($B97="",$D97=""),"",IFERROR(IF(AND(INDEX('Intervals'!$G$4:$G$33,MATCH($B97,'Intervals'!$A$4:$A$33,0))&lt;&gt;"No",N(INDEX('Intervals'!$D$4:$D$33,MATCH($B97,'Intervals'!$A$4:$A$33,0)))&gt;0),EDATE($D97,N(INDEX('Intervals'!$D$4:$D$33,MATCH($B97,'Intervals'!$A$4:$A$33,0)))),""),""))</f>
        <v/>
      </c>
      <c r="H97" s="19">
        <f>IF($A97="","",IFERROR(IF(N(INDEX('Cars'!$H$4:$H$103,MATCH($A97,'Cars'!$A$4:$A$103,0)))&gt;0,INDEX('Cars'!$H$4:$H$103,MATCH($A97,'Cars'!$A$4:$A$103,0)),""),""))</f>
        <v/>
      </c>
      <c r="I97" s="19">
        <f>IF(OR($F97="",$H97=""),"",$F97-$H97)</f>
        <v/>
      </c>
      <c r="J97" s="21">
        <f>IF($G97="","",$G97-TODAY())</f>
        <v/>
      </c>
      <c r="K97" s="21">
        <f>IF($I97="","",IFERROR(IF(N(INDEX('Cars'!$J$4:$J$103,MATCH($A97,'Cars'!$A$4:$A$103,0)))&gt;0,ROUND($I97/INDEX('Cars'!$J$4:$J$103,MATCH($A97,'Cars'!$A$4:$A$103,0))*30,0),""),""))</f>
        <v/>
      </c>
      <c r="L97" s="21">
        <f>IF(AND($J97="",$K97=""),"",MIN(IF($J97="",99999,$J97),IF($K97="",99999,$K97)))</f>
        <v/>
      </c>
      <c r="M97" s="16">
        <f>IF(AND($I97="",$J97=""),"",IF(OR(AND($I97&lt;&gt;"",N($I97)&lt;0),AND($J97&lt;&gt;"",N($J97)&lt;0)),"Overdue",IF(OR(AND($I97&lt;&gt;"",N($I97)&lt;=IFERROR(INDEX('Intervals'!$E$4:$E$33,MATCH($B97,'Intervals'!$A$4:$A$33,0)),500)),AND($J97&lt;&gt;"",N($J97)&lt;=IFERROR(INDEX('Intervals'!$F$4:$F$33,MATCH($B97,'Intervals'!$A$4:$A$33,0)),14))),"Due soon","OK")))</f>
        <v/>
      </c>
      <c r="N97" s="15" t="n"/>
      <c r="O97" s="22">
        <f>IF(OR($M97="",$M97="OK"),"",$L97+ROW()/100000)</f>
        <v/>
      </c>
    </row>
    <row r="98">
      <c r="A98" s="15" t="n"/>
      <c r="B98" s="15" t="n"/>
      <c r="C98" s="16">
        <f>IF($B98="","",IFERROR(INDEX('Intervals'!$B$4:$B$33,MATCH($B98,'Intervals'!$A$4:$A$33,0)),""))</f>
        <v/>
      </c>
      <c r="D98" s="17" t="n"/>
      <c r="E98" s="18" t="n"/>
      <c r="F98" s="19">
        <f>IF(OR($B98="",$E98=""),"",IFERROR(IF(AND(INDEX('Intervals'!$G$4:$G$33,MATCH($B98,'Intervals'!$A$4:$A$33,0))&lt;&gt;"No",N(INDEX('Intervals'!$C$4:$C$33,MATCH($B98,'Intervals'!$A$4:$A$33,0)))&gt;0),$E98+N(INDEX('Intervals'!$C$4:$C$33,MATCH($B98,'Intervals'!$A$4:$A$33,0))),""),""))</f>
        <v/>
      </c>
      <c r="G98" s="20">
        <f>IF(OR($B98="",$D98=""),"",IFERROR(IF(AND(INDEX('Intervals'!$G$4:$G$33,MATCH($B98,'Intervals'!$A$4:$A$33,0))&lt;&gt;"No",N(INDEX('Intervals'!$D$4:$D$33,MATCH($B98,'Intervals'!$A$4:$A$33,0)))&gt;0),EDATE($D98,N(INDEX('Intervals'!$D$4:$D$33,MATCH($B98,'Intervals'!$A$4:$A$33,0)))),""),""))</f>
        <v/>
      </c>
      <c r="H98" s="19">
        <f>IF($A98="","",IFERROR(IF(N(INDEX('Cars'!$H$4:$H$103,MATCH($A98,'Cars'!$A$4:$A$103,0)))&gt;0,INDEX('Cars'!$H$4:$H$103,MATCH($A98,'Cars'!$A$4:$A$103,0)),""),""))</f>
        <v/>
      </c>
      <c r="I98" s="19">
        <f>IF(OR($F98="",$H98=""),"",$F98-$H98)</f>
        <v/>
      </c>
      <c r="J98" s="21">
        <f>IF($G98="","",$G98-TODAY())</f>
        <v/>
      </c>
      <c r="K98" s="21">
        <f>IF($I98="","",IFERROR(IF(N(INDEX('Cars'!$J$4:$J$103,MATCH($A98,'Cars'!$A$4:$A$103,0)))&gt;0,ROUND($I98/INDEX('Cars'!$J$4:$J$103,MATCH($A98,'Cars'!$A$4:$A$103,0))*30,0),""),""))</f>
        <v/>
      </c>
      <c r="L98" s="21">
        <f>IF(AND($J98="",$K98=""),"",MIN(IF($J98="",99999,$J98),IF($K98="",99999,$K98)))</f>
        <v/>
      </c>
      <c r="M98" s="16">
        <f>IF(AND($I98="",$J98=""),"",IF(OR(AND($I98&lt;&gt;"",N($I98)&lt;0),AND($J98&lt;&gt;"",N($J98)&lt;0)),"Overdue",IF(OR(AND($I98&lt;&gt;"",N($I98)&lt;=IFERROR(INDEX('Intervals'!$E$4:$E$33,MATCH($B98,'Intervals'!$A$4:$A$33,0)),500)),AND($J98&lt;&gt;"",N($J98)&lt;=IFERROR(INDEX('Intervals'!$F$4:$F$33,MATCH($B98,'Intervals'!$A$4:$A$33,0)),14))),"Due soon","OK")))</f>
        <v/>
      </c>
      <c r="N98" s="15" t="n"/>
      <c r="O98" s="22">
        <f>IF(OR($M98="",$M98="OK"),"",$L98+ROW()/100000)</f>
        <v/>
      </c>
    </row>
    <row r="99">
      <c r="A99" s="15" t="n"/>
      <c r="B99" s="15" t="n"/>
      <c r="C99" s="16">
        <f>IF($B99="","",IFERROR(INDEX('Intervals'!$B$4:$B$33,MATCH($B99,'Intervals'!$A$4:$A$33,0)),""))</f>
        <v/>
      </c>
      <c r="D99" s="17" t="n"/>
      <c r="E99" s="18" t="n"/>
      <c r="F99" s="19">
        <f>IF(OR($B99="",$E99=""),"",IFERROR(IF(AND(INDEX('Intervals'!$G$4:$G$33,MATCH($B99,'Intervals'!$A$4:$A$33,0))&lt;&gt;"No",N(INDEX('Intervals'!$C$4:$C$33,MATCH($B99,'Intervals'!$A$4:$A$33,0)))&gt;0),$E99+N(INDEX('Intervals'!$C$4:$C$33,MATCH($B99,'Intervals'!$A$4:$A$33,0))),""),""))</f>
        <v/>
      </c>
      <c r="G99" s="20">
        <f>IF(OR($B99="",$D99=""),"",IFERROR(IF(AND(INDEX('Intervals'!$G$4:$G$33,MATCH($B99,'Intervals'!$A$4:$A$33,0))&lt;&gt;"No",N(INDEX('Intervals'!$D$4:$D$33,MATCH($B99,'Intervals'!$A$4:$A$33,0)))&gt;0),EDATE($D99,N(INDEX('Intervals'!$D$4:$D$33,MATCH($B99,'Intervals'!$A$4:$A$33,0)))),""),""))</f>
        <v/>
      </c>
      <c r="H99" s="19">
        <f>IF($A99="","",IFERROR(IF(N(INDEX('Cars'!$H$4:$H$103,MATCH($A99,'Cars'!$A$4:$A$103,0)))&gt;0,INDEX('Cars'!$H$4:$H$103,MATCH($A99,'Cars'!$A$4:$A$103,0)),""),""))</f>
        <v/>
      </c>
      <c r="I99" s="19">
        <f>IF(OR($F99="",$H99=""),"",$F99-$H99)</f>
        <v/>
      </c>
      <c r="J99" s="21">
        <f>IF($G99="","",$G99-TODAY())</f>
        <v/>
      </c>
      <c r="K99" s="21">
        <f>IF($I99="","",IFERROR(IF(N(INDEX('Cars'!$J$4:$J$103,MATCH($A99,'Cars'!$A$4:$A$103,0)))&gt;0,ROUND($I99/INDEX('Cars'!$J$4:$J$103,MATCH($A99,'Cars'!$A$4:$A$103,0))*30,0),""),""))</f>
        <v/>
      </c>
      <c r="L99" s="21">
        <f>IF(AND($J99="",$K99=""),"",MIN(IF($J99="",99999,$J99),IF($K99="",99999,$K99)))</f>
        <v/>
      </c>
      <c r="M99" s="16">
        <f>IF(AND($I99="",$J99=""),"",IF(OR(AND($I99&lt;&gt;"",N($I99)&lt;0),AND($J99&lt;&gt;"",N($J99)&lt;0)),"Overdue",IF(OR(AND($I99&lt;&gt;"",N($I99)&lt;=IFERROR(INDEX('Intervals'!$E$4:$E$33,MATCH($B99,'Intervals'!$A$4:$A$33,0)),500)),AND($J99&lt;&gt;"",N($J99)&lt;=IFERROR(INDEX('Intervals'!$F$4:$F$33,MATCH($B99,'Intervals'!$A$4:$A$33,0)),14))),"Due soon","OK")))</f>
        <v/>
      </c>
      <c r="N99" s="15" t="n"/>
      <c r="O99" s="22">
        <f>IF(OR($M99="",$M99="OK"),"",$L99+ROW()/100000)</f>
        <v/>
      </c>
    </row>
    <row r="100">
      <c r="A100" s="15" t="n"/>
      <c r="B100" s="15" t="n"/>
      <c r="C100" s="16">
        <f>IF($B100="","",IFERROR(INDEX('Intervals'!$B$4:$B$33,MATCH($B100,'Intervals'!$A$4:$A$33,0)),""))</f>
        <v/>
      </c>
      <c r="D100" s="17" t="n"/>
      <c r="E100" s="18" t="n"/>
      <c r="F100" s="19">
        <f>IF(OR($B100="",$E100=""),"",IFERROR(IF(AND(INDEX('Intervals'!$G$4:$G$33,MATCH($B100,'Intervals'!$A$4:$A$33,0))&lt;&gt;"No",N(INDEX('Intervals'!$C$4:$C$33,MATCH($B100,'Intervals'!$A$4:$A$33,0)))&gt;0),$E100+N(INDEX('Intervals'!$C$4:$C$33,MATCH($B100,'Intervals'!$A$4:$A$33,0))),""),""))</f>
        <v/>
      </c>
      <c r="G100" s="20">
        <f>IF(OR($B100="",$D100=""),"",IFERROR(IF(AND(INDEX('Intervals'!$G$4:$G$33,MATCH($B100,'Intervals'!$A$4:$A$33,0))&lt;&gt;"No",N(INDEX('Intervals'!$D$4:$D$33,MATCH($B100,'Intervals'!$A$4:$A$33,0)))&gt;0),EDATE($D100,N(INDEX('Intervals'!$D$4:$D$33,MATCH($B100,'Intervals'!$A$4:$A$33,0)))),""),""))</f>
        <v/>
      </c>
      <c r="H100" s="19">
        <f>IF($A100="","",IFERROR(IF(N(INDEX('Cars'!$H$4:$H$103,MATCH($A100,'Cars'!$A$4:$A$103,0)))&gt;0,INDEX('Cars'!$H$4:$H$103,MATCH($A100,'Cars'!$A$4:$A$103,0)),""),""))</f>
        <v/>
      </c>
      <c r="I100" s="19">
        <f>IF(OR($F100="",$H100=""),"",$F100-$H100)</f>
        <v/>
      </c>
      <c r="J100" s="21">
        <f>IF($G100="","",$G100-TODAY())</f>
        <v/>
      </c>
      <c r="K100" s="21">
        <f>IF($I100="","",IFERROR(IF(N(INDEX('Cars'!$J$4:$J$103,MATCH($A100,'Cars'!$A$4:$A$103,0)))&gt;0,ROUND($I100/INDEX('Cars'!$J$4:$J$103,MATCH($A100,'Cars'!$A$4:$A$103,0))*30,0),""),""))</f>
        <v/>
      </c>
      <c r="L100" s="21">
        <f>IF(AND($J100="",$K100=""),"",MIN(IF($J100="",99999,$J100),IF($K100="",99999,$K100)))</f>
        <v/>
      </c>
      <c r="M100" s="16">
        <f>IF(AND($I100="",$J100=""),"",IF(OR(AND($I100&lt;&gt;"",N($I100)&lt;0),AND($J100&lt;&gt;"",N($J100)&lt;0)),"Overdue",IF(OR(AND($I100&lt;&gt;"",N($I100)&lt;=IFERROR(INDEX('Intervals'!$E$4:$E$33,MATCH($B100,'Intervals'!$A$4:$A$33,0)),500)),AND($J100&lt;&gt;"",N($J100)&lt;=IFERROR(INDEX('Intervals'!$F$4:$F$33,MATCH($B100,'Intervals'!$A$4:$A$33,0)),14))),"Due soon","OK")))</f>
        <v/>
      </c>
      <c r="N100" s="15" t="n"/>
      <c r="O100" s="22">
        <f>IF(OR($M100="",$M100="OK"),"",$L100+ROW()/100000)</f>
        <v/>
      </c>
    </row>
    <row r="101">
      <c r="A101" s="15" t="n"/>
      <c r="B101" s="15" t="n"/>
      <c r="C101" s="16">
        <f>IF($B101="","",IFERROR(INDEX('Intervals'!$B$4:$B$33,MATCH($B101,'Intervals'!$A$4:$A$33,0)),""))</f>
        <v/>
      </c>
      <c r="D101" s="17" t="n"/>
      <c r="E101" s="18" t="n"/>
      <c r="F101" s="19">
        <f>IF(OR($B101="",$E101=""),"",IFERROR(IF(AND(INDEX('Intervals'!$G$4:$G$33,MATCH($B101,'Intervals'!$A$4:$A$33,0))&lt;&gt;"No",N(INDEX('Intervals'!$C$4:$C$33,MATCH($B101,'Intervals'!$A$4:$A$33,0)))&gt;0),$E101+N(INDEX('Intervals'!$C$4:$C$33,MATCH($B101,'Intervals'!$A$4:$A$33,0))),""),""))</f>
        <v/>
      </c>
      <c r="G101" s="20">
        <f>IF(OR($B101="",$D101=""),"",IFERROR(IF(AND(INDEX('Intervals'!$G$4:$G$33,MATCH($B101,'Intervals'!$A$4:$A$33,0))&lt;&gt;"No",N(INDEX('Intervals'!$D$4:$D$33,MATCH($B101,'Intervals'!$A$4:$A$33,0)))&gt;0),EDATE($D101,N(INDEX('Intervals'!$D$4:$D$33,MATCH($B101,'Intervals'!$A$4:$A$33,0)))),""),""))</f>
        <v/>
      </c>
      <c r="H101" s="19">
        <f>IF($A101="","",IFERROR(IF(N(INDEX('Cars'!$H$4:$H$103,MATCH($A101,'Cars'!$A$4:$A$103,0)))&gt;0,INDEX('Cars'!$H$4:$H$103,MATCH($A101,'Cars'!$A$4:$A$103,0)),""),""))</f>
        <v/>
      </c>
      <c r="I101" s="19">
        <f>IF(OR($F101="",$H101=""),"",$F101-$H101)</f>
        <v/>
      </c>
      <c r="J101" s="21">
        <f>IF($G101="","",$G101-TODAY())</f>
        <v/>
      </c>
      <c r="K101" s="21">
        <f>IF($I101="","",IFERROR(IF(N(INDEX('Cars'!$J$4:$J$103,MATCH($A101,'Cars'!$A$4:$A$103,0)))&gt;0,ROUND($I101/INDEX('Cars'!$J$4:$J$103,MATCH($A101,'Cars'!$A$4:$A$103,0))*30,0),""),""))</f>
        <v/>
      </c>
      <c r="L101" s="21">
        <f>IF(AND($J101="",$K101=""),"",MIN(IF($J101="",99999,$J101),IF($K101="",99999,$K101)))</f>
        <v/>
      </c>
      <c r="M101" s="16">
        <f>IF(AND($I101="",$J101=""),"",IF(OR(AND($I101&lt;&gt;"",N($I101)&lt;0),AND($J101&lt;&gt;"",N($J101)&lt;0)),"Overdue",IF(OR(AND($I101&lt;&gt;"",N($I101)&lt;=IFERROR(INDEX('Intervals'!$E$4:$E$33,MATCH($B101,'Intervals'!$A$4:$A$33,0)),500)),AND($J101&lt;&gt;"",N($J101)&lt;=IFERROR(INDEX('Intervals'!$F$4:$F$33,MATCH($B101,'Intervals'!$A$4:$A$33,0)),14))),"Due soon","OK")))</f>
        <v/>
      </c>
      <c r="N101" s="15" t="n"/>
      <c r="O101" s="22">
        <f>IF(OR($M101="",$M101="OK"),"",$L101+ROW()/100000)</f>
        <v/>
      </c>
    </row>
    <row r="102">
      <c r="A102" s="15" t="n"/>
      <c r="B102" s="15" t="n"/>
      <c r="C102" s="16">
        <f>IF($B102="","",IFERROR(INDEX('Intervals'!$B$4:$B$33,MATCH($B102,'Intervals'!$A$4:$A$33,0)),""))</f>
        <v/>
      </c>
      <c r="D102" s="17" t="n"/>
      <c r="E102" s="18" t="n"/>
      <c r="F102" s="19">
        <f>IF(OR($B102="",$E102=""),"",IFERROR(IF(AND(INDEX('Intervals'!$G$4:$G$33,MATCH($B102,'Intervals'!$A$4:$A$33,0))&lt;&gt;"No",N(INDEX('Intervals'!$C$4:$C$33,MATCH($B102,'Intervals'!$A$4:$A$33,0)))&gt;0),$E102+N(INDEX('Intervals'!$C$4:$C$33,MATCH($B102,'Intervals'!$A$4:$A$33,0))),""),""))</f>
        <v/>
      </c>
      <c r="G102" s="20">
        <f>IF(OR($B102="",$D102=""),"",IFERROR(IF(AND(INDEX('Intervals'!$G$4:$G$33,MATCH($B102,'Intervals'!$A$4:$A$33,0))&lt;&gt;"No",N(INDEX('Intervals'!$D$4:$D$33,MATCH($B102,'Intervals'!$A$4:$A$33,0)))&gt;0),EDATE($D102,N(INDEX('Intervals'!$D$4:$D$33,MATCH($B102,'Intervals'!$A$4:$A$33,0)))),""),""))</f>
        <v/>
      </c>
      <c r="H102" s="19">
        <f>IF($A102="","",IFERROR(IF(N(INDEX('Cars'!$H$4:$H$103,MATCH($A102,'Cars'!$A$4:$A$103,0)))&gt;0,INDEX('Cars'!$H$4:$H$103,MATCH($A102,'Cars'!$A$4:$A$103,0)),""),""))</f>
        <v/>
      </c>
      <c r="I102" s="19">
        <f>IF(OR($F102="",$H102=""),"",$F102-$H102)</f>
        <v/>
      </c>
      <c r="J102" s="21">
        <f>IF($G102="","",$G102-TODAY())</f>
        <v/>
      </c>
      <c r="K102" s="21">
        <f>IF($I102="","",IFERROR(IF(N(INDEX('Cars'!$J$4:$J$103,MATCH($A102,'Cars'!$A$4:$A$103,0)))&gt;0,ROUND($I102/INDEX('Cars'!$J$4:$J$103,MATCH($A102,'Cars'!$A$4:$A$103,0))*30,0),""),""))</f>
        <v/>
      </c>
      <c r="L102" s="21">
        <f>IF(AND($J102="",$K102=""),"",MIN(IF($J102="",99999,$J102),IF($K102="",99999,$K102)))</f>
        <v/>
      </c>
      <c r="M102" s="16">
        <f>IF(AND($I102="",$J102=""),"",IF(OR(AND($I102&lt;&gt;"",N($I102)&lt;0),AND($J102&lt;&gt;"",N($J102)&lt;0)),"Overdue",IF(OR(AND($I102&lt;&gt;"",N($I102)&lt;=IFERROR(INDEX('Intervals'!$E$4:$E$33,MATCH($B102,'Intervals'!$A$4:$A$33,0)),500)),AND($J102&lt;&gt;"",N($J102)&lt;=IFERROR(INDEX('Intervals'!$F$4:$F$33,MATCH($B102,'Intervals'!$A$4:$A$33,0)),14))),"Due soon","OK")))</f>
        <v/>
      </c>
      <c r="N102" s="15" t="n"/>
      <c r="O102" s="22">
        <f>IF(OR($M102="",$M102="OK"),"",$L102+ROW()/100000)</f>
        <v/>
      </c>
    </row>
    <row r="103">
      <c r="A103" s="15" t="n"/>
      <c r="B103" s="15" t="n"/>
      <c r="C103" s="16">
        <f>IF($B103="","",IFERROR(INDEX('Intervals'!$B$4:$B$33,MATCH($B103,'Intervals'!$A$4:$A$33,0)),""))</f>
        <v/>
      </c>
      <c r="D103" s="17" t="n"/>
      <c r="E103" s="18" t="n"/>
      <c r="F103" s="19">
        <f>IF(OR($B103="",$E103=""),"",IFERROR(IF(AND(INDEX('Intervals'!$G$4:$G$33,MATCH($B103,'Intervals'!$A$4:$A$33,0))&lt;&gt;"No",N(INDEX('Intervals'!$C$4:$C$33,MATCH($B103,'Intervals'!$A$4:$A$33,0)))&gt;0),$E103+N(INDEX('Intervals'!$C$4:$C$33,MATCH($B103,'Intervals'!$A$4:$A$33,0))),""),""))</f>
        <v/>
      </c>
      <c r="G103" s="20">
        <f>IF(OR($B103="",$D103=""),"",IFERROR(IF(AND(INDEX('Intervals'!$G$4:$G$33,MATCH($B103,'Intervals'!$A$4:$A$33,0))&lt;&gt;"No",N(INDEX('Intervals'!$D$4:$D$33,MATCH($B103,'Intervals'!$A$4:$A$33,0)))&gt;0),EDATE($D103,N(INDEX('Intervals'!$D$4:$D$33,MATCH($B103,'Intervals'!$A$4:$A$33,0)))),""),""))</f>
        <v/>
      </c>
      <c r="H103" s="19">
        <f>IF($A103="","",IFERROR(IF(N(INDEX('Cars'!$H$4:$H$103,MATCH($A103,'Cars'!$A$4:$A$103,0)))&gt;0,INDEX('Cars'!$H$4:$H$103,MATCH($A103,'Cars'!$A$4:$A$103,0)),""),""))</f>
        <v/>
      </c>
      <c r="I103" s="19">
        <f>IF(OR($F103="",$H103=""),"",$F103-$H103)</f>
        <v/>
      </c>
      <c r="J103" s="21">
        <f>IF($G103="","",$G103-TODAY())</f>
        <v/>
      </c>
      <c r="K103" s="21">
        <f>IF($I103="","",IFERROR(IF(N(INDEX('Cars'!$J$4:$J$103,MATCH($A103,'Cars'!$A$4:$A$103,0)))&gt;0,ROUND($I103/INDEX('Cars'!$J$4:$J$103,MATCH($A103,'Cars'!$A$4:$A$103,0))*30,0),""),""))</f>
        <v/>
      </c>
      <c r="L103" s="21">
        <f>IF(AND($J103="",$K103=""),"",MIN(IF($J103="",99999,$J103),IF($K103="",99999,$K103)))</f>
        <v/>
      </c>
      <c r="M103" s="16">
        <f>IF(AND($I103="",$J103=""),"",IF(OR(AND($I103&lt;&gt;"",N($I103)&lt;0),AND($J103&lt;&gt;"",N($J103)&lt;0)),"Overdue",IF(OR(AND($I103&lt;&gt;"",N($I103)&lt;=IFERROR(INDEX('Intervals'!$E$4:$E$33,MATCH($B103,'Intervals'!$A$4:$A$33,0)),500)),AND($J103&lt;&gt;"",N($J103)&lt;=IFERROR(INDEX('Intervals'!$F$4:$F$33,MATCH($B103,'Intervals'!$A$4:$A$33,0)),14))),"Due soon","OK")))</f>
        <v/>
      </c>
      <c r="N103" s="15" t="n"/>
      <c r="O103" s="22">
        <f>IF(OR($M103="",$M103="OK"),"",$L103+ROW()/100000)</f>
        <v/>
      </c>
    </row>
    <row r="104">
      <c r="A104" s="15" t="n"/>
      <c r="B104" s="15" t="n"/>
      <c r="C104" s="16">
        <f>IF($B104="","",IFERROR(INDEX('Intervals'!$B$4:$B$33,MATCH($B104,'Intervals'!$A$4:$A$33,0)),""))</f>
        <v/>
      </c>
      <c r="D104" s="17" t="n"/>
      <c r="E104" s="18" t="n"/>
      <c r="F104" s="19">
        <f>IF(OR($B104="",$E104=""),"",IFERROR(IF(AND(INDEX('Intervals'!$G$4:$G$33,MATCH($B104,'Intervals'!$A$4:$A$33,0))&lt;&gt;"No",N(INDEX('Intervals'!$C$4:$C$33,MATCH($B104,'Intervals'!$A$4:$A$33,0)))&gt;0),$E104+N(INDEX('Intervals'!$C$4:$C$33,MATCH($B104,'Intervals'!$A$4:$A$33,0))),""),""))</f>
        <v/>
      </c>
      <c r="G104" s="20">
        <f>IF(OR($B104="",$D104=""),"",IFERROR(IF(AND(INDEX('Intervals'!$G$4:$G$33,MATCH($B104,'Intervals'!$A$4:$A$33,0))&lt;&gt;"No",N(INDEX('Intervals'!$D$4:$D$33,MATCH($B104,'Intervals'!$A$4:$A$33,0)))&gt;0),EDATE($D104,N(INDEX('Intervals'!$D$4:$D$33,MATCH($B104,'Intervals'!$A$4:$A$33,0)))),""),""))</f>
        <v/>
      </c>
      <c r="H104" s="19">
        <f>IF($A104="","",IFERROR(IF(N(INDEX('Cars'!$H$4:$H$103,MATCH($A104,'Cars'!$A$4:$A$103,0)))&gt;0,INDEX('Cars'!$H$4:$H$103,MATCH($A104,'Cars'!$A$4:$A$103,0)),""),""))</f>
        <v/>
      </c>
      <c r="I104" s="19">
        <f>IF(OR($F104="",$H104=""),"",$F104-$H104)</f>
        <v/>
      </c>
      <c r="J104" s="21">
        <f>IF($G104="","",$G104-TODAY())</f>
        <v/>
      </c>
      <c r="K104" s="21">
        <f>IF($I104="","",IFERROR(IF(N(INDEX('Cars'!$J$4:$J$103,MATCH($A104,'Cars'!$A$4:$A$103,0)))&gt;0,ROUND($I104/INDEX('Cars'!$J$4:$J$103,MATCH($A104,'Cars'!$A$4:$A$103,0))*30,0),""),""))</f>
        <v/>
      </c>
      <c r="L104" s="21">
        <f>IF(AND($J104="",$K104=""),"",MIN(IF($J104="",99999,$J104),IF($K104="",99999,$K104)))</f>
        <v/>
      </c>
      <c r="M104" s="16">
        <f>IF(AND($I104="",$J104=""),"",IF(OR(AND($I104&lt;&gt;"",N($I104)&lt;0),AND($J104&lt;&gt;"",N($J104)&lt;0)),"Overdue",IF(OR(AND($I104&lt;&gt;"",N($I104)&lt;=IFERROR(INDEX('Intervals'!$E$4:$E$33,MATCH($B104,'Intervals'!$A$4:$A$33,0)),500)),AND($J104&lt;&gt;"",N($J104)&lt;=IFERROR(INDEX('Intervals'!$F$4:$F$33,MATCH($B104,'Intervals'!$A$4:$A$33,0)),14))),"Due soon","OK")))</f>
        <v/>
      </c>
      <c r="N104" s="15" t="n"/>
      <c r="O104" s="22">
        <f>IF(OR($M104="",$M104="OK"),"",$L104+ROW()/100000)</f>
        <v/>
      </c>
    </row>
    <row r="105">
      <c r="A105" s="15" t="n"/>
      <c r="B105" s="15" t="n"/>
      <c r="C105" s="16">
        <f>IF($B105="","",IFERROR(INDEX('Intervals'!$B$4:$B$33,MATCH($B105,'Intervals'!$A$4:$A$33,0)),""))</f>
        <v/>
      </c>
      <c r="D105" s="17" t="n"/>
      <c r="E105" s="18" t="n"/>
      <c r="F105" s="19">
        <f>IF(OR($B105="",$E105=""),"",IFERROR(IF(AND(INDEX('Intervals'!$G$4:$G$33,MATCH($B105,'Intervals'!$A$4:$A$33,0))&lt;&gt;"No",N(INDEX('Intervals'!$C$4:$C$33,MATCH($B105,'Intervals'!$A$4:$A$33,0)))&gt;0),$E105+N(INDEX('Intervals'!$C$4:$C$33,MATCH($B105,'Intervals'!$A$4:$A$33,0))),""),""))</f>
        <v/>
      </c>
      <c r="G105" s="20">
        <f>IF(OR($B105="",$D105=""),"",IFERROR(IF(AND(INDEX('Intervals'!$G$4:$G$33,MATCH($B105,'Intervals'!$A$4:$A$33,0))&lt;&gt;"No",N(INDEX('Intervals'!$D$4:$D$33,MATCH($B105,'Intervals'!$A$4:$A$33,0)))&gt;0),EDATE($D105,N(INDEX('Intervals'!$D$4:$D$33,MATCH($B105,'Intervals'!$A$4:$A$33,0)))),""),""))</f>
        <v/>
      </c>
      <c r="H105" s="19">
        <f>IF($A105="","",IFERROR(IF(N(INDEX('Cars'!$H$4:$H$103,MATCH($A105,'Cars'!$A$4:$A$103,0)))&gt;0,INDEX('Cars'!$H$4:$H$103,MATCH($A105,'Cars'!$A$4:$A$103,0)),""),""))</f>
        <v/>
      </c>
      <c r="I105" s="19">
        <f>IF(OR($F105="",$H105=""),"",$F105-$H105)</f>
        <v/>
      </c>
      <c r="J105" s="21">
        <f>IF($G105="","",$G105-TODAY())</f>
        <v/>
      </c>
      <c r="K105" s="21">
        <f>IF($I105="","",IFERROR(IF(N(INDEX('Cars'!$J$4:$J$103,MATCH($A105,'Cars'!$A$4:$A$103,0)))&gt;0,ROUND($I105/INDEX('Cars'!$J$4:$J$103,MATCH($A105,'Cars'!$A$4:$A$103,0))*30,0),""),""))</f>
        <v/>
      </c>
      <c r="L105" s="21">
        <f>IF(AND($J105="",$K105=""),"",MIN(IF($J105="",99999,$J105),IF($K105="",99999,$K105)))</f>
        <v/>
      </c>
      <c r="M105" s="16">
        <f>IF(AND($I105="",$J105=""),"",IF(OR(AND($I105&lt;&gt;"",N($I105)&lt;0),AND($J105&lt;&gt;"",N($J105)&lt;0)),"Overdue",IF(OR(AND($I105&lt;&gt;"",N($I105)&lt;=IFERROR(INDEX('Intervals'!$E$4:$E$33,MATCH($B105,'Intervals'!$A$4:$A$33,0)),500)),AND($J105&lt;&gt;"",N($J105)&lt;=IFERROR(INDEX('Intervals'!$F$4:$F$33,MATCH($B105,'Intervals'!$A$4:$A$33,0)),14))),"Due soon","OK")))</f>
        <v/>
      </c>
      <c r="N105" s="15" t="n"/>
      <c r="O105" s="22">
        <f>IF(OR($M105="",$M105="OK"),"",$L105+ROW()/100000)</f>
        <v/>
      </c>
    </row>
    <row r="106">
      <c r="A106" s="15" t="n"/>
      <c r="B106" s="15" t="n"/>
      <c r="C106" s="16">
        <f>IF($B106="","",IFERROR(INDEX('Intervals'!$B$4:$B$33,MATCH($B106,'Intervals'!$A$4:$A$33,0)),""))</f>
        <v/>
      </c>
      <c r="D106" s="17" t="n"/>
      <c r="E106" s="18" t="n"/>
      <c r="F106" s="19">
        <f>IF(OR($B106="",$E106=""),"",IFERROR(IF(AND(INDEX('Intervals'!$G$4:$G$33,MATCH($B106,'Intervals'!$A$4:$A$33,0))&lt;&gt;"No",N(INDEX('Intervals'!$C$4:$C$33,MATCH($B106,'Intervals'!$A$4:$A$33,0)))&gt;0),$E106+N(INDEX('Intervals'!$C$4:$C$33,MATCH($B106,'Intervals'!$A$4:$A$33,0))),""),""))</f>
        <v/>
      </c>
      <c r="G106" s="20">
        <f>IF(OR($B106="",$D106=""),"",IFERROR(IF(AND(INDEX('Intervals'!$G$4:$G$33,MATCH($B106,'Intervals'!$A$4:$A$33,0))&lt;&gt;"No",N(INDEX('Intervals'!$D$4:$D$33,MATCH($B106,'Intervals'!$A$4:$A$33,0)))&gt;0),EDATE($D106,N(INDEX('Intervals'!$D$4:$D$33,MATCH($B106,'Intervals'!$A$4:$A$33,0)))),""),""))</f>
        <v/>
      </c>
      <c r="H106" s="19">
        <f>IF($A106="","",IFERROR(IF(N(INDEX('Cars'!$H$4:$H$103,MATCH($A106,'Cars'!$A$4:$A$103,0)))&gt;0,INDEX('Cars'!$H$4:$H$103,MATCH($A106,'Cars'!$A$4:$A$103,0)),""),""))</f>
        <v/>
      </c>
      <c r="I106" s="19">
        <f>IF(OR($F106="",$H106=""),"",$F106-$H106)</f>
        <v/>
      </c>
      <c r="J106" s="21">
        <f>IF($G106="","",$G106-TODAY())</f>
        <v/>
      </c>
      <c r="K106" s="21">
        <f>IF($I106="","",IFERROR(IF(N(INDEX('Cars'!$J$4:$J$103,MATCH($A106,'Cars'!$A$4:$A$103,0)))&gt;0,ROUND($I106/INDEX('Cars'!$J$4:$J$103,MATCH($A106,'Cars'!$A$4:$A$103,0))*30,0),""),""))</f>
        <v/>
      </c>
      <c r="L106" s="21">
        <f>IF(AND($J106="",$K106=""),"",MIN(IF($J106="",99999,$J106),IF($K106="",99999,$K106)))</f>
        <v/>
      </c>
      <c r="M106" s="16">
        <f>IF(AND($I106="",$J106=""),"",IF(OR(AND($I106&lt;&gt;"",N($I106)&lt;0),AND($J106&lt;&gt;"",N($J106)&lt;0)),"Overdue",IF(OR(AND($I106&lt;&gt;"",N($I106)&lt;=IFERROR(INDEX('Intervals'!$E$4:$E$33,MATCH($B106,'Intervals'!$A$4:$A$33,0)),500)),AND($J106&lt;&gt;"",N($J106)&lt;=IFERROR(INDEX('Intervals'!$F$4:$F$33,MATCH($B106,'Intervals'!$A$4:$A$33,0)),14))),"Due soon","OK")))</f>
        <v/>
      </c>
      <c r="N106" s="15" t="n"/>
      <c r="O106" s="22">
        <f>IF(OR($M106="",$M106="OK"),"",$L106+ROW()/100000)</f>
        <v/>
      </c>
    </row>
    <row r="107">
      <c r="A107" s="15" t="n"/>
      <c r="B107" s="15" t="n"/>
      <c r="C107" s="16">
        <f>IF($B107="","",IFERROR(INDEX('Intervals'!$B$4:$B$33,MATCH($B107,'Intervals'!$A$4:$A$33,0)),""))</f>
        <v/>
      </c>
      <c r="D107" s="17" t="n"/>
      <c r="E107" s="18" t="n"/>
      <c r="F107" s="19">
        <f>IF(OR($B107="",$E107=""),"",IFERROR(IF(AND(INDEX('Intervals'!$G$4:$G$33,MATCH($B107,'Intervals'!$A$4:$A$33,0))&lt;&gt;"No",N(INDEX('Intervals'!$C$4:$C$33,MATCH($B107,'Intervals'!$A$4:$A$33,0)))&gt;0),$E107+N(INDEX('Intervals'!$C$4:$C$33,MATCH($B107,'Intervals'!$A$4:$A$33,0))),""),""))</f>
        <v/>
      </c>
      <c r="G107" s="20">
        <f>IF(OR($B107="",$D107=""),"",IFERROR(IF(AND(INDEX('Intervals'!$G$4:$G$33,MATCH($B107,'Intervals'!$A$4:$A$33,0))&lt;&gt;"No",N(INDEX('Intervals'!$D$4:$D$33,MATCH($B107,'Intervals'!$A$4:$A$33,0)))&gt;0),EDATE($D107,N(INDEX('Intervals'!$D$4:$D$33,MATCH($B107,'Intervals'!$A$4:$A$33,0)))),""),""))</f>
        <v/>
      </c>
      <c r="H107" s="19">
        <f>IF($A107="","",IFERROR(IF(N(INDEX('Cars'!$H$4:$H$103,MATCH($A107,'Cars'!$A$4:$A$103,0)))&gt;0,INDEX('Cars'!$H$4:$H$103,MATCH($A107,'Cars'!$A$4:$A$103,0)),""),""))</f>
        <v/>
      </c>
      <c r="I107" s="19">
        <f>IF(OR($F107="",$H107=""),"",$F107-$H107)</f>
        <v/>
      </c>
      <c r="J107" s="21">
        <f>IF($G107="","",$G107-TODAY())</f>
        <v/>
      </c>
      <c r="K107" s="21">
        <f>IF($I107="","",IFERROR(IF(N(INDEX('Cars'!$J$4:$J$103,MATCH($A107,'Cars'!$A$4:$A$103,0)))&gt;0,ROUND($I107/INDEX('Cars'!$J$4:$J$103,MATCH($A107,'Cars'!$A$4:$A$103,0))*30,0),""),""))</f>
        <v/>
      </c>
      <c r="L107" s="21">
        <f>IF(AND($J107="",$K107=""),"",MIN(IF($J107="",99999,$J107),IF($K107="",99999,$K107)))</f>
        <v/>
      </c>
      <c r="M107" s="16">
        <f>IF(AND($I107="",$J107=""),"",IF(OR(AND($I107&lt;&gt;"",N($I107)&lt;0),AND($J107&lt;&gt;"",N($J107)&lt;0)),"Overdue",IF(OR(AND($I107&lt;&gt;"",N($I107)&lt;=IFERROR(INDEX('Intervals'!$E$4:$E$33,MATCH($B107,'Intervals'!$A$4:$A$33,0)),500)),AND($J107&lt;&gt;"",N($J107)&lt;=IFERROR(INDEX('Intervals'!$F$4:$F$33,MATCH($B107,'Intervals'!$A$4:$A$33,0)),14))),"Due soon","OK")))</f>
        <v/>
      </c>
      <c r="N107" s="15" t="n"/>
      <c r="O107" s="22">
        <f>IF(OR($M107="",$M107="OK"),"",$L107+ROW()/100000)</f>
        <v/>
      </c>
    </row>
    <row r="108">
      <c r="A108" s="15" t="n"/>
      <c r="B108" s="15" t="n"/>
      <c r="C108" s="16">
        <f>IF($B108="","",IFERROR(INDEX('Intervals'!$B$4:$B$33,MATCH($B108,'Intervals'!$A$4:$A$33,0)),""))</f>
        <v/>
      </c>
      <c r="D108" s="17" t="n"/>
      <c r="E108" s="18" t="n"/>
      <c r="F108" s="19">
        <f>IF(OR($B108="",$E108=""),"",IFERROR(IF(AND(INDEX('Intervals'!$G$4:$G$33,MATCH($B108,'Intervals'!$A$4:$A$33,0))&lt;&gt;"No",N(INDEX('Intervals'!$C$4:$C$33,MATCH($B108,'Intervals'!$A$4:$A$33,0)))&gt;0),$E108+N(INDEX('Intervals'!$C$4:$C$33,MATCH($B108,'Intervals'!$A$4:$A$33,0))),""),""))</f>
        <v/>
      </c>
      <c r="G108" s="20">
        <f>IF(OR($B108="",$D108=""),"",IFERROR(IF(AND(INDEX('Intervals'!$G$4:$G$33,MATCH($B108,'Intervals'!$A$4:$A$33,0))&lt;&gt;"No",N(INDEX('Intervals'!$D$4:$D$33,MATCH($B108,'Intervals'!$A$4:$A$33,0)))&gt;0),EDATE($D108,N(INDEX('Intervals'!$D$4:$D$33,MATCH($B108,'Intervals'!$A$4:$A$33,0)))),""),""))</f>
        <v/>
      </c>
      <c r="H108" s="19">
        <f>IF($A108="","",IFERROR(IF(N(INDEX('Cars'!$H$4:$H$103,MATCH($A108,'Cars'!$A$4:$A$103,0)))&gt;0,INDEX('Cars'!$H$4:$H$103,MATCH($A108,'Cars'!$A$4:$A$103,0)),""),""))</f>
        <v/>
      </c>
      <c r="I108" s="19">
        <f>IF(OR($F108="",$H108=""),"",$F108-$H108)</f>
        <v/>
      </c>
      <c r="J108" s="21">
        <f>IF($G108="","",$G108-TODAY())</f>
        <v/>
      </c>
      <c r="K108" s="21">
        <f>IF($I108="","",IFERROR(IF(N(INDEX('Cars'!$J$4:$J$103,MATCH($A108,'Cars'!$A$4:$A$103,0)))&gt;0,ROUND($I108/INDEX('Cars'!$J$4:$J$103,MATCH($A108,'Cars'!$A$4:$A$103,0))*30,0),""),""))</f>
        <v/>
      </c>
      <c r="L108" s="21">
        <f>IF(AND($J108="",$K108=""),"",MIN(IF($J108="",99999,$J108),IF($K108="",99999,$K108)))</f>
        <v/>
      </c>
      <c r="M108" s="16">
        <f>IF(AND($I108="",$J108=""),"",IF(OR(AND($I108&lt;&gt;"",N($I108)&lt;0),AND($J108&lt;&gt;"",N($J108)&lt;0)),"Overdue",IF(OR(AND($I108&lt;&gt;"",N($I108)&lt;=IFERROR(INDEX('Intervals'!$E$4:$E$33,MATCH($B108,'Intervals'!$A$4:$A$33,0)),500)),AND($J108&lt;&gt;"",N($J108)&lt;=IFERROR(INDEX('Intervals'!$F$4:$F$33,MATCH($B108,'Intervals'!$A$4:$A$33,0)),14))),"Due soon","OK")))</f>
        <v/>
      </c>
      <c r="N108" s="15" t="n"/>
      <c r="O108" s="22">
        <f>IF(OR($M108="",$M108="OK"),"",$L108+ROW()/100000)</f>
        <v/>
      </c>
    </row>
    <row r="109">
      <c r="A109" s="15" t="n"/>
      <c r="B109" s="15" t="n"/>
      <c r="C109" s="16">
        <f>IF($B109="","",IFERROR(INDEX('Intervals'!$B$4:$B$33,MATCH($B109,'Intervals'!$A$4:$A$33,0)),""))</f>
        <v/>
      </c>
      <c r="D109" s="17" t="n"/>
      <c r="E109" s="18" t="n"/>
      <c r="F109" s="19">
        <f>IF(OR($B109="",$E109=""),"",IFERROR(IF(AND(INDEX('Intervals'!$G$4:$G$33,MATCH($B109,'Intervals'!$A$4:$A$33,0))&lt;&gt;"No",N(INDEX('Intervals'!$C$4:$C$33,MATCH($B109,'Intervals'!$A$4:$A$33,0)))&gt;0),$E109+N(INDEX('Intervals'!$C$4:$C$33,MATCH($B109,'Intervals'!$A$4:$A$33,0))),""),""))</f>
        <v/>
      </c>
      <c r="G109" s="20">
        <f>IF(OR($B109="",$D109=""),"",IFERROR(IF(AND(INDEX('Intervals'!$G$4:$G$33,MATCH($B109,'Intervals'!$A$4:$A$33,0))&lt;&gt;"No",N(INDEX('Intervals'!$D$4:$D$33,MATCH($B109,'Intervals'!$A$4:$A$33,0)))&gt;0),EDATE($D109,N(INDEX('Intervals'!$D$4:$D$33,MATCH($B109,'Intervals'!$A$4:$A$33,0)))),""),""))</f>
        <v/>
      </c>
      <c r="H109" s="19">
        <f>IF($A109="","",IFERROR(IF(N(INDEX('Cars'!$H$4:$H$103,MATCH($A109,'Cars'!$A$4:$A$103,0)))&gt;0,INDEX('Cars'!$H$4:$H$103,MATCH($A109,'Cars'!$A$4:$A$103,0)),""),""))</f>
        <v/>
      </c>
      <c r="I109" s="19">
        <f>IF(OR($F109="",$H109=""),"",$F109-$H109)</f>
        <v/>
      </c>
      <c r="J109" s="21">
        <f>IF($G109="","",$G109-TODAY())</f>
        <v/>
      </c>
      <c r="K109" s="21">
        <f>IF($I109="","",IFERROR(IF(N(INDEX('Cars'!$J$4:$J$103,MATCH($A109,'Cars'!$A$4:$A$103,0)))&gt;0,ROUND($I109/INDEX('Cars'!$J$4:$J$103,MATCH($A109,'Cars'!$A$4:$A$103,0))*30,0),""),""))</f>
        <v/>
      </c>
      <c r="L109" s="21">
        <f>IF(AND($J109="",$K109=""),"",MIN(IF($J109="",99999,$J109),IF($K109="",99999,$K109)))</f>
        <v/>
      </c>
      <c r="M109" s="16">
        <f>IF(AND($I109="",$J109=""),"",IF(OR(AND($I109&lt;&gt;"",N($I109)&lt;0),AND($J109&lt;&gt;"",N($J109)&lt;0)),"Overdue",IF(OR(AND($I109&lt;&gt;"",N($I109)&lt;=IFERROR(INDEX('Intervals'!$E$4:$E$33,MATCH($B109,'Intervals'!$A$4:$A$33,0)),500)),AND($J109&lt;&gt;"",N($J109)&lt;=IFERROR(INDEX('Intervals'!$F$4:$F$33,MATCH($B109,'Intervals'!$A$4:$A$33,0)),14))),"Due soon","OK")))</f>
        <v/>
      </c>
      <c r="N109" s="15" t="n"/>
      <c r="O109" s="22">
        <f>IF(OR($M109="",$M109="OK"),"",$L109+ROW()/100000)</f>
        <v/>
      </c>
    </row>
    <row r="110">
      <c r="A110" s="15" t="n"/>
      <c r="B110" s="15" t="n"/>
      <c r="C110" s="16">
        <f>IF($B110="","",IFERROR(INDEX('Intervals'!$B$4:$B$33,MATCH($B110,'Intervals'!$A$4:$A$33,0)),""))</f>
        <v/>
      </c>
      <c r="D110" s="17" t="n"/>
      <c r="E110" s="18" t="n"/>
      <c r="F110" s="19">
        <f>IF(OR($B110="",$E110=""),"",IFERROR(IF(AND(INDEX('Intervals'!$G$4:$G$33,MATCH($B110,'Intervals'!$A$4:$A$33,0))&lt;&gt;"No",N(INDEX('Intervals'!$C$4:$C$33,MATCH($B110,'Intervals'!$A$4:$A$33,0)))&gt;0),$E110+N(INDEX('Intervals'!$C$4:$C$33,MATCH($B110,'Intervals'!$A$4:$A$33,0))),""),""))</f>
        <v/>
      </c>
      <c r="G110" s="20">
        <f>IF(OR($B110="",$D110=""),"",IFERROR(IF(AND(INDEX('Intervals'!$G$4:$G$33,MATCH($B110,'Intervals'!$A$4:$A$33,0))&lt;&gt;"No",N(INDEX('Intervals'!$D$4:$D$33,MATCH($B110,'Intervals'!$A$4:$A$33,0)))&gt;0),EDATE($D110,N(INDEX('Intervals'!$D$4:$D$33,MATCH($B110,'Intervals'!$A$4:$A$33,0)))),""),""))</f>
        <v/>
      </c>
      <c r="H110" s="19">
        <f>IF($A110="","",IFERROR(IF(N(INDEX('Cars'!$H$4:$H$103,MATCH($A110,'Cars'!$A$4:$A$103,0)))&gt;0,INDEX('Cars'!$H$4:$H$103,MATCH($A110,'Cars'!$A$4:$A$103,0)),""),""))</f>
        <v/>
      </c>
      <c r="I110" s="19">
        <f>IF(OR($F110="",$H110=""),"",$F110-$H110)</f>
        <v/>
      </c>
      <c r="J110" s="21">
        <f>IF($G110="","",$G110-TODAY())</f>
        <v/>
      </c>
      <c r="K110" s="21">
        <f>IF($I110="","",IFERROR(IF(N(INDEX('Cars'!$J$4:$J$103,MATCH($A110,'Cars'!$A$4:$A$103,0)))&gt;0,ROUND($I110/INDEX('Cars'!$J$4:$J$103,MATCH($A110,'Cars'!$A$4:$A$103,0))*30,0),""),""))</f>
        <v/>
      </c>
      <c r="L110" s="21">
        <f>IF(AND($J110="",$K110=""),"",MIN(IF($J110="",99999,$J110),IF($K110="",99999,$K110)))</f>
        <v/>
      </c>
      <c r="M110" s="16">
        <f>IF(AND($I110="",$J110=""),"",IF(OR(AND($I110&lt;&gt;"",N($I110)&lt;0),AND($J110&lt;&gt;"",N($J110)&lt;0)),"Overdue",IF(OR(AND($I110&lt;&gt;"",N($I110)&lt;=IFERROR(INDEX('Intervals'!$E$4:$E$33,MATCH($B110,'Intervals'!$A$4:$A$33,0)),500)),AND($J110&lt;&gt;"",N($J110)&lt;=IFERROR(INDEX('Intervals'!$F$4:$F$33,MATCH($B110,'Intervals'!$A$4:$A$33,0)),14))),"Due soon","OK")))</f>
        <v/>
      </c>
      <c r="N110" s="15" t="n"/>
      <c r="O110" s="22">
        <f>IF(OR($M110="",$M110="OK"),"",$L110+ROW()/100000)</f>
        <v/>
      </c>
    </row>
    <row r="111">
      <c r="A111" s="15" t="n"/>
      <c r="B111" s="15" t="n"/>
      <c r="C111" s="16">
        <f>IF($B111="","",IFERROR(INDEX('Intervals'!$B$4:$B$33,MATCH($B111,'Intervals'!$A$4:$A$33,0)),""))</f>
        <v/>
      </c>
      <c r="D111" s="17" t="n"/>
      <c r="E111" s="18" t="n"/>
      <c r="F111" s="19">
        <f>IF(OR($B111="",$E111=""),"",IFERROR(IF(AND(INDEX('Intervals'!$G$4:$G$33,MATCH($B111,'Intervals'!$A$4:$A$33,0))&lt;&gt;"No",N(INDEX('Intervals'!$C$4:$C$33,MATCH($B111,'Intervals'!$A$4:$A$33,0)))&gt;0),$E111+N(INDEX('Intervals'!$C$4:$C$33,MATCH($B111,'Intervals'!$A$4:$A$33,0))),""),""))</f>
        <v/>
      </c>
      <c r="G111" s="20">
        <f>IF(OR($B111="",$D111=""),"",IFERROR(IF(AND(INDEX('Intervals'!$G$4:$G$33,MATCH($B111,'Intervals'!$A$4:$A$33,0))&lt;&gt;"No",N(INDEX('Intervals'!$D$4:$D$33,MATCH($B111,'Intervals'!$A$4:$A$33,0)))&gt;0),EDATE($D111,N(INDEX('Intervals'!$D$4:$D$33,MATCH($B111,'Intervals'!$A$4:$A$33,0)))),""),""))</f>
        <v/>
      </c>
      <c r="H111" s="19">
        <f>IF($A111="","",IFERROR(IF(N(INDEX('Cars'!$H$4:$H$103,MATCH($A111,'Cars'!$A$4:$A$103,0)))&gt;0,INDEX('Cars'!$H$4:$H$103,MATCH($A111,'Cars'!$A$4:$A$103,0)),""),""))</f>
        <v/>
      </c>
      <c r="I111" s="19">
        <f>IF(OR($F111="",$H111=""),"",$F111-$H111)</f>
        <v/>
      </c>
      <c r="J111" s="21">
        <f>IF($G111="","",$G111-TODAY())</f>
        <v/>
      </c>
      <c r="K111" s="21">
        <f>IF($I111="","",IFERROR(IF(N(INDEX('Cars'!$J$4:$J$103,MATCH($A111,'Cars'!$A$4:$A$103,0)))&gt;0,ROUND($I111/INDEX('Cars'!$J$4:$J$103,MATCH($A111,'Cars'!$A$4:$A$103,0))*30,0),""),""))</f>
        <v/>
      </c>
      <c r="L111" s="21">
        <f>IF(AND($J111="",$K111=""),"",MIN(IF($J111="",99999,$J111),IF($K111="",99999,$K111)))</f>
        <v/>
      </c>
      <c r="M111" s="16">
        <f>IF(AND($I111="",$J111=""),"",IF(OR(AND($I111&lt;&gt;"",N($I111)&lt;0),AND($J111&lt;&gt;"",N($J111)&lt;0)),"Overdue",IF(OR(AND($I111&lt;&gt;"",N($I111)&lt;=IFERROR(INDEX('Intervals'!$E$4:$E$33,MATCH($B111,'Intervals'!$A$4:$A$33,0)),500)),AND($J111&lt;&gt;"",N($J111)&lt;=IFERROR(INDEX('Intervals'!$F$4:$F$33,MATCH($B111,'Intervals'!$A$4:$A$33,0)),14))),"Due soon","OK")))</f>
        <v/>
      </c>
      <c r="N111" s="15" t="n"/>
      <c r="O111" s="22">
        <f>IF(OR($M111="",$M111="OK"),"",$L111+ROW()/100000)</f>
        <v/>
      </c>
    </row>
    <row r="112">
      <c r="A112" s="15" t="n"/>
      <c r="B112" s="15" t="n"/>
      <c r="C112" s="16">
        <f>IF($B112="","",IFERROR(INDEX('Intervals'!$B$4:$B$33,MATCH($B112,'Intervals'!$A$4:$A$33,0)),""))</f>
        <v/>
      </c>
      <c r="D112" s="17" t="n"/>
      <c r="E112" s="18" t="n"/>
      <c r="F112" s="19">
        <f>IF(OR($B112="",$E112=""),"",IFERROR(IF(AND(INDEX('Intervals'!$G$4:$G$33,MATCH($B112,'Intervals'!$A$4:$A$33,0))&lt;&gt;"No",N(INDEX('Intervals'!$C$4:$C$33,MATCH($B112,'Intervals'!$A$4:$A$33,0)))&gt;0),$E112+N(INDEX('Intervals'!$C$4:$C$33,MATCH($B112,'Intervals'!$A$4:$A$33,0))),""),""))</f>
        <v/>
      </c>
      <c r="G112" s="20">
        <f>IF(OR($B112="",$D112=""),"",IFERROR(IF(AND(INDEX('Intervals'!$G$4:$G$33,MATCH($B112,'Intervals'!$A$4:$A$33,0))&lt;&gt;"No",N(INDEX('Intervals'!$D$4:$D$33,MATCH($B112,'Intervals'!$A$4:$A$33,0)))&gt;0),EDATE($D112,N(INDEX('Intervals'!$D$4:$D$33,MATCH($B112,'Intervals'!$A$4:$A$33,0)))),""),""))</f>
        <v/>
      </c>
      <c r="H112" s="19">
        <f>IF($A112="","",IFERROR(IF(N(INDEX('Cars'!$H$4:$H$103,MATCH($A112,'Cars'!$A$4:$A$103,0)))&gt;0,INDEX('Cars'!$H$4:$H$103,MATCH($A112,'Cars'!$A$4:$A$103,0)),""),""))</f>
        <v/>
      </c>
      <c r="I112" s="19">
        <f>IF(OR($F112="",$H112=""),"",$F112-$H112)</f>
        <v/>
      </c>
      <c r="J112" s="21">
        <f>IF($G112="","",$G112-TODAY())</f>
        <v/>
      </c>
      <c r="K112" s="21">
        <f>IF($I112="","",IFERROR(IF(N(INDEX('Cars'!$J$4:$J$103,MATCH($A112,'Cars'!$A$4:$A$103,0)))&gt;0,ROUND($I112/INDEX('Cars'!$J$4:$J$103,MATCH($A112,'Cars'!$A$4:$A$103,0))*30,0),""),""))</f>
        <v/>
      </c>
      <c r="L112" s="21">
        <f>IF(AND($J112="",$K112=""),"",MIN(IF($J112="",99999,$J112),IF($K112="",99999,$K112)))</f>
        <v/>
      </c>
      <c r="M112" s="16">
        <f>IF(AND($I112="",$J112=""),"",IF(OR(AND($I112&lt;&gt;"",N($I112)&lt;0),AND($J112&lt;&gt;"",N($J112)&lt;0)),"Overdue",IF(OR(AND($I112&lt;&gt;"",N($I112)&lt;=IFERROR(INDEX('Intervals'!$E$4:$E$33,MATCH($B112,'Intervals'!$A$4:$A$33,0)),500)),AND($J112&lt;&gt;"",N($J112)&lt;=IFERROR(INDEX('Intervals'!$F$4:$F$33,MATCH($B112,'Intervals'!$A$4:$A$33,0)),14))),"Due soon","OK")))</f>
        <v/>
      </c>
      <c r="N112" s="15" t="n"/>
      <c r="O112" s="22">
        <f>IF(OR($M112="",$M112="OK"),"",$L112+ROW()/100000)</f>
        <v/>
      </c>
    </row>
    <row r="113">
      <c r="A113" s="15" t="n"/>
      <c r="B113" s="15" t="n"/>
      <c r="C113" s="16">
        <f>IF($B113="","",IFERROR(INDEX('Intervals'!$B$4:$B$33,MATCH($B113,'Intervals'!$A$4:$A$33,0)),""))</f>
        <v/>
      </c>
      <c r="D113" s="17" t="n"/>
      <c r="E113" s="18" t="n"/>
      <c r="F113" s="19">
        <f>IF(OR($B113="",$E113=""),"",IFERROR(IF(AND(INDEX('Intervals'!$G$4:$G$33,MATCH($B113,'Intervals'!$A$4:$A$33,0))&lt;&gt;"No",N(INDEX('Intervals'!$C$4:$C$33,MATCH($B113,'Intervals'!$A$4:$A$33,0)))&gt;0),$E113+N(INDEX('Intervals'!$C$4:$C$33,MATCH($B113,'Intervals'!$A$4:$A$33,0))),""),""))</f>
        <v/>
      </c>
      <c r="G113" s="20">
        <f>IF(OR($B113="",$D113=""),"",IFERROR(IF(AND(INDEX('Intervals'!$G$4:$G$33,MATCH($B113,'Intervals'!$A$4:$A$33,0))&lt;&gt;"No",N(INDEX('Intervals'!$D$4:$D$33,MATCH($B113,'Intervals'!$A$4:$A$33,0)))&gt;0),EDATE($D113,N(INDEX('Intervals'!$D$4:$D$33,MATCH($B113,'Intervals'!$A$4:$A$33,0)))),""),""))</f>
        <v/>
      </c>
      <c r="H113" s="19">
        <f>IF($A113="","",IFERROR(IF(N(INDEX('Cars'!$H$4:$H$103,MATCH($A113,'Cars'!$A$4:$A$103,0)))&gt;0,INDEX('Cars'!$H$4:$H$103,MATCH($A113,'Cars'!$A$4:$A$103,0)),""),""))</f>
        <v/>
      </c>
      <c r="I113" s="19">
        <f>IF(OR($F113="",$H113=""),"",$F113-$H113)</f>
        <v/>
      </c>
      <c r="J113" s="21">
        <f>IF($G113="","",$G113-TODAY())</f>
        <v/>
      </c>
      <c r="K113" s="21">
        <f>IF($I113="","",IFERROR(IF(N(INDEX('Cars'!$J$4:$J$103,MATCH($A113,'Cars'!$A$4:$A$103,0)))&gt;0,ROUND($I113/INDEX('Cars'!$J$4:$J$103,MATCH($A113,'Cars'!$A$4:$A$103,0))*30,0),""),""))</f>
        <v/>
      </c>
      <c r="L113" s="21">
        <f>IF(AND($J113="",$K113=""),"",MIN(IF($J113="",99999,$J113),IF($K113="",99999,$K113)))</f>
        <v/>
      </c>
      <c r="M113" s="16">
        <f>IF(AND($I113="",$J113=""),"",IF(OR(AND($I113&lt;&gt;"",N($I113)&lt;0),AND($J113&lt;&gt;"",N($J113)&lt;0)),"Overdue",IF(OR(AND($I113&lt;&gt;"",N($I113)&lt;=IFERROR(INDEX('Intervals'!$E$4:$E$33,MATCH($B113,'Intervals'!$A$4:$A$33,0)),500)),AND($J113&lt;&gt;"",N($J113)&lt;=IFERROR(INDEX('Intervals'!$F$4:$F$33,MATCH($B113,'Intervals'!$A$4:$A$33,0)),14))),"Due soon","OK")))</f>
        <v/>
      </c>
      <c r="N113" s="15" t="n"/>
      <c r="O113" s="22">
        <f>IF(OR($M113="",$M113="OK"),"",$L113+ROW()/100000)</f>
        <v/>
      </c>
    </row>
    <row r="114">
      <c r="A114" s="15" t="n"/>
      <c r="B114" s="15" t="n"/>
      <c r="C114" s="16">
        <f>IF($B114="","",IFERROR(INDEX('Intervals'!$B$4:$B$33,MATCH($B114,'Intervals'!$A$4:$A$33,0)),""))</f>
        <v/>
      </c>
      <c r="D114" s="17" t="n"/>
      <c r="E114" s="18" t="n"/>
      <c r="F114" s="19">
        <f>IF(OR($B114="",$E114=""),"",IFERROR(IF(AND(INDEX('Intervals'!$G$4:$G$33,MATCH($B114,'Intervals'!$A$4:$A$33,0))&lt;&gt;"No",N(INDEX('Intervals'!$C$4:$C$33,MATCH($B114,'Intervals'!$A$4:$A$33,0)))&gt;0),$E114+N(INDEX('Intervals'!$C$4:$C$33,MATCH($B114,'Intervals'!$A$4:$A$33,0))),""),""))</f>
        <v/>
      </c>
      <c r="G114" s="20">
        <f>IF(OR($B114="",$D114=""),"",IFERROR(IF(AND(INDEX('Intervals'!$G$4:$G$33,MATCH($B114,'Intervals'!$A$4:$A$33,0))&lt;&gt;"No",N(INDEX('Intervals'!$D$4:$D$33,MATCH($B114,'Intervals'!$A$4:$A$33,0)))&gt;0),EDATE($D114,N(INDEX('Intervals'!$D$4:$D$33,MATCH($B114,'Intervals'!$A$4:$A$33,0)))),""),""))</f>
        <v/>
      </c>
      <c r="H114" s="19">
        <f>IF($A114="","",IFERROR(IF(N(INDEX('Cars'!$H$4:$H$103,MATCH($A114,'Cars'!$A$4:$A$103,0)))&gt;0,INDEX('Cars'!$H$4:$H$103,MATCH($A114,'Cars'!$A$4:$A$103,0)),""),""))</f>
        <v/>
      </c>
      <c r="I114" s="19">
        <f>IF(OR($F114="",$H114=""),"",$F114-$H114)</f>
        <v/>
      </c>
      <c r="J114" s="21">
        <f>IF($G114="","",$G114-TODAY())</f>
        <v/>
      </c>
      <c r="K114" s="21">
        <f>IF($I114="","",IFERROR(IF(N(INDEX('Cars'!$J$4:$J$103,MATCH($A114,'Cars'!$A$4:$A$103,0)))&gt;0,ROUND($I114/INDEX('Cars'!$J$4:$J$103,MATCH($A114,'Cars'!$A$4:$A$103,0))*30,0),""),""))</f>
        <v/>
      </c>
      <c r="L114" s="21">
        <f>IF(AND($J114="",$K114=""),"",MIN(IF($J114="",99999,$J114),IF($K114="",99999,$K114)))</f>
        <v/>
      </c>
      <c r="M114" s="16">
        <f>IF(AND($I114="",$J114=""),"",IF(OR(AND($I114&lt;&gt;"",N($I114)&lt;0),AND($J114&lt;&gt;"",N($J114)&lt;0)),"Overdue",IF(OR(AND($I114&lt;&gt;"",N($I114)&lt;=IFERROR(INDEX('Intervals'!$E$4:$E$33,MATCH($B114,'Intervals'!$A$4:$A$33,0)),500)),AND($J114&lt;&gt;"",N($J114)&lt;=IFERROR(INDEX('Intervals'!$F$4:$F$33,MATCH($B114,'Intervals'!$A$4:$A$33,0)),14))),"Due soon","OK")))</f>
        <v/>
      </c>
      <c r="N114" s="15" t="n"/>
      <c r="O114" s="22">
        <f>IF(OR($M114="",$M114="OK"),"",$L114+ROW()/100000)</f>
        <v/>
      </c>
    </row>
    <row r="115">
      <c r="A115" s="15" t="n"/>
      <c r="B115" s="15" t="n"/>
      <c r="C115" s="16">
        <f>IF($B115="","",IFERROR(INDEX('Intervals'!$B$4:$B$33,MATCH($B115,'Intervals'!$A$4:$A$33,0)),""))</f>
        <v/>
      </c>
      <c r="D115" s="17" t="n"/>
      <c r="E115" s="18" t="n"/>
      <c r="F115" s="19">
        <f>IF(OR($B115="",$E115=""),"",IFERROR(IF(AND(INDEX('Intervals'!$G$4:$G$33,MATCH($B115,'Intervals'!$A$4:$A$33,0))&lt;&gt;"No",N(INDEX('Intervals'!$C$4:$C$33,MATCH($B115,'Intervals'!$A$4:$A$33,0)))&gt;0),$E115+N(INDEX('Intervals'!$C$4:$C$33,MATCH($B115,'Intervals'!$A$4:$A$33,0))),""),""))</f>
        <v/>
      </c>
      <c r="G115" s="20">
        <f>IF(OR($B115="",$D115=""),"",IFERROR(IF(AND(INDEX('Intervals'!$G$4:$G$33,MATCH($B115,'Intervals'!$A$4:$A$33,0))&lt;&gt;"No",N(INDEX('Intervals'!$D$4:$D$33,MATCH($B115,'Intervals'!$A$4:$A$33,0)))&gt;0),EDATE($D115,N(INDEX('Intervals'!$D$4:$D$33,MATCH($B115,'Intervals'!$A$4:$A$33,0)))),""),""))</f>
        <v/>
      </c>
      <c r="H115" s="19">
        <f>IF($A115="","",IFERROR(IF(N(INDEX('Cars'!$H$4:$H$103,MATCH($A115,'Cars'!$A$4:$A$103,0)))&gt;0,INDEX('Cars'!$H$4:$H$103,MATCH($A115,'Cars'!$A$4:$A$103,0)),""),""))</f>
        <v/>
      </c>
      <c r="I115" s="19">
        <f>IF(OR($F115="",$H115=""),"",$F115-$H115)</f>
        <v/>
      </c>
      <c r="J115" s="21">
        <f>IF($G115="","",$G115-TODAY())</f>
        <v/>
      </c>
      <c r="K115" s="21">
        <f>IF($I115="","",IFERROR(IF(N(INDEX('Cars'!$J$4:$J$103,MATCH($A115,'Cars'!$A$4:$A$103,0)))&gt;0,ROUND($I115/INDEX('Cars'!$J$4:$J$103,MATCH($A115,'Cars'!$A$4:$A$103,0))*30,0),""),""))</f>
        <v/>
      </c>
      <c r="L115" s="21">
        <f>IF(AND($J115="",$K115=""),"",MIN(IF($J115="",99999,$J115),IF($K115="",99999,$K115)))</f>
        <v/>
      </c>
      <c r="M115" s="16">
        <f>IF(AND($I115="",$J115=""),"",IF(OR(AND($I115&lt;&gt;"",N($I115)&lt;0),AND($J115&lt;&gt;"",N($J115)&lt;0)),"Overdue",IF(OR(AND($I115&lt;&gt;"",N($I115)&lt;=IFERROR(INDEX('Intervals'!$E$4:$E$33,MATCH($B115,'Intervals'!$A$4:$A$33,0)),500)),AND($J115&lt;&gt;"",N($J115)&lt;=IFERROR(INDEX('Intervals'!$F$4:$F$33,MATCH($B115,'Intervals'!$A$4:$A$33,0)),14))),"Due soon","OK")))</f>
        <v/>
      </c>
      <c r="N115" s="15" t="n"/>
      <c r="O115" s="22">
        <f>IF(OR($M115="",$M115="OK"),"",$L115+ROW()/100000)</f>
        <v/>
      </c>
    </row>
    <row r="116">
      <c r="A116" s="15" t="n"/>
      <c r="B116" s="15" t="n"/>
      <c r="C116" s="16">
        <f>IF($B116="","",IFERROR(INDEX('Intervals'!$B$4:$B$33,MATCH($B116,'Intervals'!$A$4:$A$33,0)),""))</f>
        <v/>
      </c>
      <c r="D116" s="17" t="n"/>
      <c r="E116" s="18" t="n"/>
      <c r="F116" s="19">
        <f>IF(OR($B116="",$E116=""),"",IFERROR(IF(AND(INDEX('Intervals'!$G$4:$G$33,MATCH($B116,'Intervals'!$A$4:$A$33,0))&lt;&gt;"No",N(INDEX('Intervals'!$C$4:$C$33,MATCH($B116,'Intervals'!$A$4:$A$33,0)))&gt;0),$E116+N(INDEX('Intervals'!$C$4:$C$33,MATCH($B116,'Intervals'!$A$4:$A$33,0))),""),""))</f>
        <v/>
      </c>
      <c r="G116" s="20">
        <f>IF(OR($B116="",$D116=""),"",IFERROR(IF(AND(INDEX('Intervals'!$G$4:$G$33,MATCH($B116,'Intervals'!$A$4:$A$33,0))&lt;&gt;"No",N(INDEX('Intervals'!$D$4:$D$33,MATCH($B116,'Intervals'!$A$4:$A$33,0)))&gt;0),EDATE($D116,N(INDEX('Intervals'!$D$4:$D$33,MATCH($B116,'Intervals'!$A$4:$A$33,0)))),""),""))</f>
        <v/>
      </c>
      <c r="H116" s="19">
        <f>IF($A116="","",IFERROR(IF(N(INDEX('Cars'!$H$4:$H$103,MATCH($A116,'Cars'!$A$4:$A$103,0)))&gt;0,INDEX('Cars'!$H$4:$H$103,MATCH($A116,'Cars'!$A$4:$A$103,0)),""),""))</f>
        <v/>
      </c>
      <c r="I116" s="19">
        <f>IF(OR($F116="",$H116=""),"",$F116-$H116)</f>
        <v/>
      </c>
      <c r="J116" s="21">
        <f>IF($G116="","",$G116-TODAY())</f>
        <v/>
      </c>
      <c r="K116" s="21">
        <f>IF($I116="","",IFERROR(IF(N(INDEX('Cars'!$J$4:$J$103,MATCH($A116,'Cars'!$A$4:$A$103,0)))&gt;0,ROUND($I116/INDEX('Cars'!$J$4:$J$103,MATCH($A116,'Cars'!$A$4:$A$103,0))*30,0),""),""))</f>
        <v/>
      </c>
      <c r="L116" s="21">
        <f>IF(AND($J116="",$K116=""),"",MIN(IF($J116="",99999,$J116),IF($K116="",99999,$K116)))</f>
        <v/>
      </c>
      <c r="M116" s="16">
        <f>IF(AND($I116="",$J116=""),"",IF(OR(AND($I116&lt;&gt;"",N($I116)&lt;0),AND($J116&lt;&gt;"",N($J116)&lt;0)),"Overdue",IF(OR(AND($I116&lt;&gt;"",N($I116)&lt;=IFERROR(INDEX('Intervals'!$E$4:$E$33,MATCH($B116,'Intervals'!$A$4:$A$33,0)),500)),AND($J116&lt;&gt;"",N($J116)&lt;=IFERROR(INDEX('Intervals'!$F$4:$F$33,MATCH($B116,'Intervals'!$A$4:$A$33,0)),14))),"Due soon","OK")))</f>
        <v/>
      </c>
      <c r="N116" s="15" t="n"/>
      <c r="O116" s="22">
        <f>IF(OR($M116="",$M116="OK"),"",$L116+ROW()/100000)</f>
        <v/>
      </c>
    </row>
    <row r="117">
      <c r="A117" s="15" t="n"/>
      <c r="B117" s="15" t="n"/>
      <c r="C117" s="16">
        <f>IF($B117="","",IFERROR(INDEX('Intervals'!$B$4:$B$33,MATCH($B117,'Intervals'!$A$4:$A$33,0)),""))</f>
        <v/>
      </c>
      <c r="D117" s="17" t="n"/>
      <c r="E117" s="18" t="n"/>
      <c r="F117" s="19">
        <f>IF(OR($B117="",$E117=""),"",IFERROR(IF(AND(INDEX('Intervals'!$G$4:$G$33,MATCH($B117,'Intervals'!$A$4:$A$33,0))&lt;&gt;"No",N(INDEX('Intervals'!$C$4:$C$33,MATCH($B117,'Intervals'!$A$4:$A$33,0)))&gt;0),$E117+N(INDEX('Intervals'!$C$4:$C$33,MATCH($B117,'Intervals'!$A$4:$A$33,0))),""),""))</f>
        <v/>
      </c>
      <c r="G117" s="20">
        <f>IF(OR($B117="",$D117=""),"",IFERROR(IF(AND(INDEX('Intervals'!$G$4:$G$33,MATCH($B117,'Intervals'!$A$4:$A$33,0))&lt;&gt;"No",N(INDEX('Intervals'!$D$4:$D$33,MATCH($B117,'Intervals'!$A$4:$A$33,0)))&gt;0),EDATE($D117,N(INDEX('Intervals'!$D$4:$D$33,MATCH($B117,'Intervals'!$A$4:$A$33,0)))),""),""))</f>
        <v/>
      </c>
      <c r="H117" s="19">
        <f>IF($A117="","",IFERROR(IF(N(INDEX('Cars'!$H$4:$H$103,MATCH($A117,'Cars'!$A$4:$A$103,0)))&gt;0,INDEX('Cars'!$H$4:$H$103,MATCH($A117,'Cars'!$A$4:$A$103,0)),""),""))</f>
        <v/>
      </c>
      <c r="I117" s="19">
        <f>IF(OR($F117="",$H117=""),"",$F117-$H117)</f>
        <v/>
      </c>
      <c r="J117" s="21">
        <f>IF($G117="","",$G117-TODAY())</f>
        <v/>
      </c>
      <c r="K117" s="21">
        <f>IF($I117="","",IFERROR(IF(N(INDEX('Cars'!$J$4:$J$103,MATCH($A117,'Cars'!$A$4:$A$103,0)))&gt;0,ROUND($I117/INDEX('Cars'!$J$4:$J$103,MATCH($A117,'Cars'!$A$4:$A$103,0))*30,0),""),""))</f>
        <v/>
      </c>
      <c r="L117" s="21">
        <f>IF(AND($J117="",$K117=""),"",MIN(IF($J117="",99999,$J117),IF($K117="",99999,$K117)))</f>
        <v/>
      </c>
      <c r="M117" s="16">
        <f>IF(AND($I117="",$J117=""),"",IF(OR(AND($I117&lt;&gt;"",N($I117)&lt;0),AND($J117&lt;&gt;"",N($J117)&lt;0)),"Overdue",IF(OR(AND($I117&lt;&gt;"",N($I117)&lt;=IFERROR(INDEX('Intervals'!$E$4:$E$33,MATCH($B117,'Intervals'!$A$4:$A$33,0)),500)),AND($J117&lt;&gt;"",N($J117)&lt;=IFERROR(INDEX('Intervals'!$F$4:$F$33,MATCH($B117,'Intervals'!$A$4:$A$33,0)),14))),"Due soon","OK")))</f>
        <v/>
      </c>
      <c r="N117" s="15" t="n"/>
      <c r="O117" s="22">
        <f>IF(OR($M117="",$M117="OK"),"",$L117+ROW()/100000)</f>
        <v/>
      </c>
    </row>
    <row r="118">
      <c r="A118" s="15" t="n"/>
      <c r="B118" s="15" t="n"/>
      <c r="C118" s="16">
        <f>IF($B118="","",IFERROR(INDEX('Intervals'!$B$4:$B$33,MATCH($B118,'Intervals'!$A$4:$A$33,0)),""))</f>
        <v/>
      </c>
      <c r="D118" s="17" t="n"/>
      <c r="E118" s="18" t="n"/>
      <c r="F118" s="19">
        <f>IF(OR($B118="",$E118=""),"",IFERROR(IF(AND(INDEX('Intervals'!$G$4:$G$33,MATCH($B118,'Intervals'!$A$4:$A$33,0))&lt;&gt;"No",N(INDEX('Intervals'!$C$4:$C$33,MATCH($B118,'Intervals'!$A$4:$A$33,0)))&gt;0),$E118+N(INDEX('Intervals'!$C$4:$C$33,MATCH($B118,'Intervals'!$A$4:$A$33,0))),""),""))</f>
        <v/>
      </c>
      <c r="G118" s="20">
        <f>IF(OR($B118="",$D118=""),"",IFERROR(IF(AND(INDEX('Intervals'!$G$4:$G$33,MATCH($B118,'Intervals'!$A$4:$A$33,0))&lt;&gt;"No",N(INDEX('Intervals'!$D$4:$D$33,MATCH($B118,'Intervals'!$A$4:$A$33,0)))&gt;0),EDATE($D118,N(INDEX('Intervals'!$D$4:$D$33,MATCH($B118,'Intervals'!$A$4:$A$33,0)))),""),""))</f>
        <v/>
      </c>
      <c r="H118" s="19">
        <f>IF($A118="","",IFERROR(IF(N(INDEX('Cars'!$H$4:$H$103,MATCH($A118,'Cars'!$A$4:$A$103,0)))&gt;0,INDEX('Cars'!$H$4:$H$103,MATCH($A118,'Cars'!$A$4:$A$103,0)),""),""))</f>
        <v/>
      </c>
      <c r="I118" s="19">
        <f>IF(OR($F118="",$H118=""),"",$F118-$H118)</f>
        <v/>
      </c>
      <c r="J118" s="21">
        <f>IF($G118="","",$G118-TODAY())</f>
        <v/>
      </c>
      <c r="K118" s="21">
        <f>IF($I118="","",IFERROR(IF(N(INDEX('Cars'!$J$4:$J$103,MATCH($A118,'Cars'!$A$4:$A$103,0)))&gt;0,ROUND($I118/INDEX('Cars'!$J$4:$J$103,MATCH($A118,'Cars'!$A$4:$A$103,0))*30,0),""),""))</f>
        <v/>
      </c>
      <c r="L118" s="21">
        <f>IF(AND($J118="",$K118=""),"",MIN(IF($J118="",99999,$J118),IF($K118="",99999,$K118)))</f>
        <v/>
      </c>
      <c r="M118" s="16">
        <f>IF(AND($I118="",$J118=""),"",IF(OR(AND($I118&lt;&gt;"",N($I118)&lt;0),AND($J118&lt;&gt;"",N($J118)&lt;0)),"Overdue",IF(OR(AND($I118&lt;&gt;"",N($I118)&lt;=IFERROR(INDEX('Intervals'!$E$4:$E$33,MATCH($B118,'Intervals'!$A$4:$A$33,0)),500)),AND($J118&lt;&gt;"",N($J118)&lt;=IFERROR(INDEX('Intervals'!$F$4:$F$33,MATCH($B118,'Intervals'!$A$4:$A$33,0)),14))),"Due soon","OK")))</f>
        <v/>
      </c>
      <c r="N118" s="15" t="n"/>
      <c r="O118" s="22">
        <f>IF(OR($M118="",$M118="OK"),"",$L118+ROW()/100000)</f>
        <v/>
      </c>
    </row>
    <row r="119">
      <c r="A119" s="15" t="n"/>
      <c r="B119" s="15" t="n"/>
      <c r="C119" s="16">
        <f>IF($B119="","",IFERROR(INDEX('Intervals'!$B$4:$B$33,MATCH($B119,'Intervals'!$A$4:$A$33,0)),""))</f>
        <v/>
      </c>
      <c r="D119" s="17" t="n"/>
      <c r="E119" s="18" t="n"/>
      <c r="F119" s="19">
        <f>IF(OR($B119="",$E119=""),"",IFERROR(IF(AND(INDEX('Intervals'!$G$4:$G$33,MATCH($B119,'Intervals'!$A$4:$A$33,0))&lt;&gt;"No",N(INDEX('Intervals'!$C$4:$C$33,MATCH($B119,'Intervals'!$A$4:$A$33,0)))&gt;0),$E119+N(INDEX('Intervals'!$C$4:$C$33,MATCH($B119,'Intervals'!$A$4:$A$33,0))),""),""))</f>
        <v/>
      </c>
      <c r="G119" s="20">
        <f>IF(OR($B119="",$D119=""),"",IFERROR(IF(AND(INDEX('Intervals'!$G$4:$G$33,MATCH($B119,'Intervals'!$A$4:$A$33,0))&lt;&gt;"No",N(INDEX('Intervals'!$D$4:$D$33,MATCH($B119,'Intervals'!$A$4:$A$33,0)))&gt;0),EDATE($D119,N(INDEX('Intervals'!$D$4:$D$33,MATCH($B119,'Intervals'!$A$4:$A$33,0)))),""),""))</f>
        <v/>
      </c>
      <c r="H119" s="19">
        <f>IF($A119="","",IFERROR(IF(N(INDEX('Cars'!$H$4:$H$103,MATCH($A119,'Cars'!$A$4:$A$103,0)))&gt;0,INDEX('Cars'!$H$4:$H$103,MATCH($A119,'Cars'!$A$4:$A$103,0)),""),""))</f>
        <v/>
      </c>
      <c r="I119" s="19">
        <f>IF(OR($F119="",$H119=""),"",$F119-$H119)</f>
        <v/>
      </c>
      <c r="J119" s="21">
        <f>IF($G119="","",$G119-TODAY())</f>
        <v/>
      </c>
      <c r="K119" s="21">
        <f>IF($I119="","",IFERROR(IF(N(INDEX('Cars'!$J$4:$J$103,MATCH($A119,'Cars'!$A$4:$A$103,0)))&gt;0,ROUND($I119/INDEX('Cars'!$J$4:$J$103,MATCH($A119,'Cars'!$A$4:$A$103,0))*30,0),""),""))</f>
        <v/>
      </c>
      <c r="L119" s="21">
        <f>IF(AND($J119="",$K119=""),"",MIN(IF($J119="",99999,$J119),IF($K119="",99999,$K119)))</f>
        <v/>
      </c>
      <c r="M119" s="16">
        <f>IF(AND($I119="",$J119=""),"",IF(OR(AND($I119&lt;&gt;"",N($I119)&lt;0),AND($J119&lt;&gt;"",N($J119)&lt;0)),"Overdue",IF(OR(AND($I119&lt;&gt;"",N($I119)&lt;=IFERROR(INDEX('Intervals'!$E$4:$E$33,MATCH($B119,'Intervals'!$A$4:$A$33,0)),500)),AND($J119&lt;&gt;"",N($J119)&lt;=IFERROR(INDEX('Intervals'!$F$4:$F$33,MATCH($B119,'Intervals'!$A$4:$A$33,0)),14))),"Due soon","OK")))</f>
        <v/>
      </c>
      <c r="N119" s="15" t="n"/>
      <c r="O119" s="22">
        <f>IF(OR($M119="",$M119="OK"),"",$L119+ROW()/100000)</f>
        <v/>
      </c>
    </row>
    <row r="120">
      <c r="A120" s="15" t="n"/>
      <c r="B120" s="15" t="n"/>
      <c r="C120" s="16">
        <f>IF($B120="","",IFERROR(INDEX('Intervals'!$B$4:$B$33,MATCH($B120,'Intervals'!$A$4:$A$33,0)),""))</f>
        <v/>
      </c>
      <c r="D120" s="17" t="n"/>
      <c r="E120" s="18" t="n"/>
      <c r="F120" s="19">
        <f>IF(OR($B120="",$E120=""),"",IFERROR(IF(AND(INDEX('Intervals'!$G$4:$G$33,MATCH($B120,'Intervals'!$A$4:$A$33,0))&lt;&gt;"No",N(INDEX('Intervals'!$C$4:$C$33,MATCH($B120,'Intervals'!$A$4:$A$33,0)))&gt;0),$E120+N(INDEX('Intervals'!$C$4:$C$33,MATCH($B120,'Intervals'!$A$4:$A$33,0))),""),""))</f>
        <v/>
      </c>
      <c r="G120" s="20">
        <f>IF(OR($B120="",$D120=""),"",IFERROR(IF(AND(INDEX('Intervals'!$G$4:$G$33,MATCH($B120,'Intervals'!$A$4:$A$33,0))&lt;&gt;"No",N(INDEX('Intervals'!$D$4:$D$33,MATCH($B120,'Intervals'!$A$4:$A$33,0)))&gt;0),EDATE($D120,N(INDEX('Intervals'!$D$4:$D$33,MATCH($B120,'Intervals'!$A$4:$A$33,0)))),""),""))</f>
        <v/>
      </c>
      <c r="H120" s="19">
        <f>IF($A120="","",IFERROR(IF(N(INDEX('Cars'!$H$4:$H$103,MATCH($A120,'Cars'!$A$4:$A$103,0)))&gt;0,INDEX('Cars'!$H$4:$H$103,MATCH($A120,'Cars'!$A$4:$A$103,0)),""),""))</f>
        <v/>
      </c>
      <c r="I120" s="19">
        <f>IF(OR($F120="",$H120=""),"",$F120-$H120)</f>
        <v/>
      </c>
      <c r="J120" s="21">
        <f>IF($G120="","",$G120-TODAY())</f>
        <v/>
      </c>
      <c r="K120" s="21">
        <f>IF($I120="","",IFERROR(IF(N(INDEX('Cars'!$J$4:$J$103,MATCH($A120,'Cars'!$A$4:$A$103,0)))&gt;0,ROUND($I120/INDEX('Cars'!$J$4:$J$103,MATCH($A120,'Cars'!$A$4:$A$103,0))*30,0),""),""))</f>
        <v/>
      </c>
      <c r="L120" s="21">
        <f>IF(AND($J120="",$K120=""),"",MIN(IF($J120="",99999,$J120),IF($K120="",99999,$K120)))</f>
        <v/>
      </c>
      <c r="M120" s="16">
        <f>IF(AND($I120="",$J120=""),"",IF(OR(AND($I120&lt;&gt;"",N($I120)&lt;0),AND($J120&lt;&gt;"",N($J120)&lt;0)),"Overdue",IF(OR(AND($I120&lt;&gt;"",N($I120)&lt;=IFERROR(INDEX('Intervals'!$E$4:$E$33,MATCH($B120,'Intervals'!$A$4:$A$33,0)),500)),AND($J120&lt;&gt;"",N($J120)&lt;=IFERROR(INDEX('Intervals'!$F$4:$F$33,MATCH($B120,'Intervals'!$A$4:$A$33,0)),14))),"Due soon","OK")))</f>
        <v/>
      </c>
      <c r="N120" s="15" t="n"/>
      <c r="O120" s="22">
        <f>IF(OR($M120="",$M120="OK"),"",$L120+ROW()/100000)</f>
        <v/>
      </c>
    </row>
    <row r="121">
      <c r="A121" s="15" t="n"/>
      <c r="B121" s="15" t="n"/>
      <c r="C121" s="16">
        <f>IF($B121="","",IFERROR(INDEX('Intervals'!$B$4:$B$33,MATCH($B121,'Intervals'!$A$4:$A$33,0)),""))</f>
        <v/>
      </c>
      <c r="D121" s="17" t="n"/>
      <c r="E121" s="18" t="n"/>
      <c r="F121" s="19">
        <f>IF(OR($B121="",$E121=""),"",IFERROR(IF(AND(INDEX('Intervals'!$G$4:$G$33,MATCH($B121,'Intervals'!$A$4:$A$33,0))&lt;&gt;"No",N(INDEX('Intervals'!$C$4:$C$33,MATCH($B121,'Intervals'!$A$4:$A$33,0)))&gt;0),$E121+N(INDEX('Intervals'!$C$4:$C$33,MATCH($B121,'Intervals'!$A$4:$A$33,0))),""),""))</f>
        <v/>
      </c>
      <c r="G121" s="20">
        <f>IF(OR($B121="",$D121=""),"",IFERROR(IF(AND(INDEX('Intervals'!$G$4:$G$33,MATCH($B121,'Intervals'!$A$4:$A$33,0))&lt;&gt;"No",N(INDEX('Intervals'!$D$4:$D$33,MATCH($B121,'Intervals'!$A$4:$A$33,0)))&gt;0),EDATE($D121,N(INDEX('Intervals'!$D$4:$D$33,MATCH($B121,'Intervals'!$A$4:$A$33,0)))),""),""))</f>
        <v/>
      </c>
      <c r="H121" s="19">
        <f>IF($A121="","",IFERROR(IF(N(INDEX('Cars'!$H$4:$H$103,MATCH($A121,'Cars'!$A$4:$A$103,0)))&gt;0,INDEX('Cars'!$H$4:$H$103,MATCH($A121,'Cars'!$A$4:$A$103,0)),""),""))</f>
        <v/>
      </c>
      <c r="I121" s="19">
        <f>IF(OR($F121="",$H121=""),"",$F121-$H121)</f>
        <v/>
      </c>
      <c r="J121" s="21">
        <f>IF($G121="","",$G121-TODAY())</f>
        <v/>
      </c>
      <c r="K121" s="21">
        <f>IF($I121="","",IFERROR(IF(N(INDEX('Cars'!$J$4:$J$103,MATCH($A121,'Cars'!$A$4:$A$103,0)))&gt;0,ROUND($I121/INDEX('Cars'!$J$4:$J$103,MATCH($A121,'Cars'!$A$4:$A$103,0))*30,0),""),""))</f>
        <v/>
      </c>
      <c r="L121" s="21">
        <f>IF(AND($J121="",$K121=""),"",MIN(IF($J121="",99999,$J121),IF($K121="",99999,$K121)))</f>
        <v/>
      </c>
      <c r="M121" s="16">
        <f>IF(AND($I121="",$J121=""),"",IF(OR(AND($I121&lt;&gt;"",N($I121)&lt;0),AND($J121&lt;&gt;"",N($J121)&lt;0)),"Overdue",IF(OR(AND($I121&lt;&gt;"",N($I121)&lt;=IFERROR(INDEX('Intervals'!$E$4:$E$33,MATCH($B121,'Intervals'!$A$4:$A$33,0)),500)),AND($J121&lt;&gt;"",N($J121)&lt;=IFERROR(INDEX('Intervals'!$F$4:$F$33,MATCH($B121,'Intervals'!$A$4:$A$33,0)),14))),"Due soon","OK")))</f>
        <v/>
      </c>
      <c r="N121" s="15" t="n"/>
      <c r="O121" s="22">
        <f>IF(OR($M121="",$M121="OK"),"",$L121+ROW()/100000)</f>
        <v/>
      </c>
    </row>
    <row r="122">
      <c r="A122" s="15" t="n"/>
      <c r="B122" s="15" t="n"/>
      <c r="C122" s="16">
        <f>IF($B122="","",IFERROR(INDEX('Intervals'!$B$4:$B$33,MATCH($B122,'Intervals'!$A$4:$A$33,0)),""))</f>
        <v/>
      </c>
      <c r="D122" s="17" t="n"/>
      <c r="E122" s="18" t="n"/>
      <c r="F122" s="19">
        <f>IF(OR($B122="",$E122=""),"",IFERROR(IF(AND(INDEX('Intervals'!$G$4:$G$33,MATCH($B122,'Intervals'!$A$4:$A$33,0))&lt;&gt;"No",N(INDEX('Intervals'!$C$4:$C$33,MATCH($B122,'Intervals'!$A$4:$A$33,0)))&gt;0),$E122+N(INDEX('Intervals'!$C$4:$C$33,MATCH($B122,'Intervals'!$A$4:$A$33,0))),""),""))</f>
        <v/>
      </c>
      <c r="G122" s="20">
        <f>IF(OR($B122="",$D122=""),"",IFERROR(IF(AND(INDEX('Intervals'!$G$4:$G$33,MATCH($B122,'Intervals'!$A$4:$A$33,0))&lt;&gt;"No",N(INDEX('Intervals'!$D$4:$D$33,MATCH($B122,'Intervals'!$A$4:$A$33,0)))&gt;0),EDATE($D122,N(INDEX('Intervals'!$D$4:$D$33,MATCH($B122,'Intervals'!$A$4:$A$33,0)))),""),""))</f>
        <v/>
      </c>
      <c r="H122" s="19">
        <f>IF($A122="","",IFERROR(IF(N(INDEX('Cars'!$H$4:$H$103,MATCH($A122,'Cars'!$A$4:$A$103,0)))&gt;0,INDEX('Cars'!$H$4:$H$103,MATCH($A122,'Cars'!$A$4:$A$103,0)),""),""))</f>
        <v/>
      </c>
      <c r="I122" s="19">
        <f>IF(OR($F122="",$H122=""),"",$F122-$H122)</f>
        <v/>
      </c>
      <c r="J122" s="21">
        <f>IF($G122="","",$G122-TODAY())</f>
        <v/>
      </c>
      <c r="K122" s="21">
        <f>IF($I122="","",IFERROR(IF(N(INDEX('Cars'!$J$4:$J$103,MATCH($A122,'Cars'!$A$4:$A$103,0)))&gt;0,ROUND($I122/INDEX('Cars'!$J$4:$J$103,MATCH($A122,'Cars'!$A$4:$A$103,0))*30,0),""),""))</f>
        <v/>
      </c>
      <c r="L122" s="21">
        <f>IF(AND($J122="",$K122=""),"",MIN(IF($J122="",99999,$J122),IF($K122="",99999,$K122)))</f>
        <v/>
      </c>
      <c r="M122" s="16">
        <f>IF(AND($I122="",$J122=""),"",IF(OR(AND($I122&lt;&gt;"",N($I122)&lt;0),AND($J122&lt;&gt;"",N($J122)&lt;0)),"Overdue",IF(OR(AND($I122&lt;&gt;"",N($I122)&lt;=IFERROR(INDEX('Intervals'!$E$4:$E$33,MATCH($B122,'Intervals'!$A$4:$A$33,0)),500)),AND($J122&lt;&gt;"",N($J122)&lt;=IFERROR(INDEX('Intervals'!$F$4:$F$33,MATCH($B122,'Intervals'!$A$4:$A$33,0)),14))),"Due soon","OK")))</f>
        <v/>
      </c>
      <c r="N122" s="15" t="n"/>
      <c r="O122" s="22">
        <f>IF(OR($M122="",$M122="OK"),"",$L122+ROW()/100000)</f>
        <v/>
      </c>
    </row>
    <row r="123">
      <c r="A123" s="15" t="n"/>
      <c r="B123" s="15" t="n"/>
      <c r="C123" s="16">
        <f>IF($B123="","",IFERROR(INDEX('Intervals'!$B$4:$B$33,MATCH($B123,'Intervals'!$A$4:$A$33,0)),""))</f>
        <v/>
      </c>
      <c r="D123" s="17" t="n"/>
      <c r="E123" s="18" t="n"/>
      <c r="F123" s="19">
        <f>IF(OR($B123="",$E123=""),"",IFERROR(IF(AND(INDEX('Intervals'!$G$4:$G$33,MATCH($B123,'Intervals'!$A$4:$A$33,0))&lt;&gt;"No",N(INDEX('Intervals'!$C$4:$C$33,MATCH($B123,'Intervals'!$A$4:$A$33,0)))&gt;0),$E123+N(INDEX('Intervals'!$C$4:$C$33,MATCH($B123,'Intervals'!$A$4:$A$33,0))),""),""))</f>
        <v/>
      </c>
      <c r="G123" s="20">
        <f>IF(OR($B123="",$D123=""),"",IFERROR(IF(AND(INDEX('Intervals'!$G$4:$G$33,MATCH($B123,'Intervals'!$A$4:$A$33,0))&lt;&gt;"No",N(INDEX('Intervals'!$D$4:$D$33,MATCH($B123,'Intervals'!$A$4:$A$33,0)))&gt;0),EDATE($D123,N(INDEX('Intervals'!$D$4:$D$33,MATCH($B123,'Intervals'!$A$4:$A$33,0)))),""),""))</f>
        <v/>
      </c>
      <c r="H123" s="19">
        <f>IF($A123="","",IFERROR(IF(N(INDEX('Cars'!$H$4:$H$103,MATCH($A123,'Cars'!$A$4:$A$103,0)))&gt;0,INDEX('Cars'!$H$4:$H$103,MATCH($A123,'Cars'!$A$4:$A$103,0)),""),""))</f>
        <v/>
      </c>
      <c r="I123" s="19">
        <f>IF(OR($F123="",$H123=""),"",$F123-$H123)</f>
        <v/>
      </c>
      <c r="J123" s="21">
        <f>IF($G123="","",$G123-TODAY())</f>
        <v/>
      </c>
      <c r="K123" s="21">
        <f>IF($I123="","",IFERROR(IF(N(INDEX('Cars'!$J$4:$J$103,MATCH($A123,'Cars'!$A$4:$A$103,0)))&gt;0,ROUND($I123/INDEX('Cars'!$J$4:$J$103,MATCH($A123,'Cars'!$A$4:$A$103,0))*30,0),""),""))</f>
        <v/>
      </c>
      <c r="L123" s="21">
        <f>IF(AND($J123="",$K123=""),"",MIN(IF($J123="",99999,$J123),IF($K123="",99999,$K123)))</f>
        <v/>
      </c>
      <c r="M123" s="16">
        <f>IF(AND($I123="",$J123=""),"",IF(OR(AND($I123&lt;&gt;"",N($I123)&lt;0),AND($J123&lt;&gt;"",N($J123)&lt;0)),"Overdue",IF(OR(AND($I123&lt;&gt;"",N($I123)&lt;=IFERROR(INDEX('Intervals'!$E$4:$E$33,MATCH($B123,'Intervals'!$A$4:$A$33,0)),500)),AND($J123&lt;&gt;"",N($J123)&lt;=IFERROR(INDEX('Intervals'!$F$4:$F$33,MATCH($B123,'Intervals'!$A$4:$A$33,0)),14))),"Due soon","OK")))</f>
        <v/>
      </c>
      <c r="N123" s="15" t="n"/>
      <c r="O123" s="22">
        <f>IF(OR($M123="",$M123="OK"),"",$L123+ROW()/100000)</f>
        <v/>
      </c>
    </row>
    <row r="124">
      <c r="A124" s="15" t="n"/>
      <c r="B124" s="15" t="n"/>
      <c r="C124" s="16">
        <f>IF($B124="","",IFERROR(INDEX('Intervals'!$B$4:$B$33,MATCH($B124,'Intervals'!$A$4:$A$33,0)),""))</f>
        <v/>
      </c>
      <c r="D124" s="17" t="n"/>
      <c r="E124" s="18" t="n"/>
      <c r="F124" s="19">
        <f>IF(OR($B124="",$E124=""),"",IFERROR(IF(AND(INDEX('Intervals'!$G$4:$G$33,MATCH($B124,'Intervals'!$A$4:$A$33,0))&lt;&gt;"No",N(INDEX('Intervals'!$C$4:$C$33,MATCH($B124,'Intervals'!$A$4:$A$33,0)))&gt;0),$E124+N(INDEX('Intervals'!$C$4:$C$33,MATCH($B124,'Intervals'!$A$4:$A$33,0))),""),""))</f>
        <v/>
      </c>
      <c r="G124" s="20">
        <f>IF(OR($B124="",$D124=""),"",IFERROR(IF(AND(INDEX('Intervals'!$G$4:$G$33,MATCH($B124,'Intervals'!$A$4:$A$33,0))&lt;&gt;"No",N(INDEX('Intervals'!$D$4:$D$33,MATCH($B124,'Intervals'!$A$4:$A$33,0)))&gt;0),EDATE($D124,N(INDEX('Intervals'!$D$4:$D$33,MATCH($B124,'Intervals'!$A$4:$A$33,0)))),""),""))</f>
        <v/>
      </c>
      <c r="H124" s="19">
        <f>IF($A124="","",IFERROR(IF(N(INDEX('Cars'!$H$4:$H$103,MATCH($A124,'Cars'!$A$4:$A$103,0)))&gt;0,INDEX('Cars'!$H$4:$H$103,MATCH($A124,'Cars'!$A$4:$A$103,0)),""),""))</f>
        <v/>
      </c>
      <c r="I124" s="19">
        <f>IF(OR($F124="",$H124=""),"",$F124-$H124)</f>
        <v/>
      </c>
      <c r="J124" s="21">
        <f>IF($G124="","",$G124-TODAY())</f>
        <v/>
      </c>
      <c r="K124" s="21">
        <f>IF($I124="","",IFERROR(IF(N(INDEX('Cars'!$J$4:$J$103,MATCH($A124,'Cars'!$A$4:$A$103,0)))&gt;0,ROUND($I124/INDEX('Cars'!$J$4:$J$103,MATCH($A124,'Cars'!$A$4:$A$103,0))*30,0),""),""))</f>
        <v/>
      </c>
      <c r="L124" s="21">
        <f>IF(AND($J124="",$K124=""),"",MIN(IF($J124="",99999,$J124),IF($K124="",99999,$K124)))</f>
        <v/>
      </c>
      <c r="M124" s="16">
        <f>IF(AND($I124="",$J124=""),"",IF(OR(AND($I124&lt;&gt;"",N($I124)&lt;0),AND($J124&lt;&gt;"",N($J124)&lt;0)),"Overdue",IF(OR(AND($I124&lt;&gt;"",N($I124)&lt;=IFERROR(INDEX('Intervals'!$E$4:$E$33,MATCH($B124,'Intervals'!$A$4:$A$33,0)),500)),AND($J124&lt;&gt;"",N($J124)&lt;=IFERROR(INDEX('Intervals'!$F$4:$F$33,MATCH($B124,'Intervals'!$A$4:$A$33,0)),14))),"Due soon","OK")))</f>
        <v/>
      </c>
      <c r="N124" s="15" t="n"/>
      <c r="O124" s="22">
        <f>IF(OR($M124="",$M124="OK"),"",$L124+ROW()/100000)</f>
        <v/>
      </c>
    </row>
    <row r="125">
      <c r="A125" s="15" t="n"/>
      <c r="B125" s="15" t="n"/>
      <c r="C125" s="16">
        <f>IF($B125="","",IFERROR(INDEX('Intervals'!$B$4:$B$33,MATCH($B125,'Intervals'!$A$4:$A$33,0)),""))</f>
        <v/>
      </c>
      <c r="D125" s="17" t="n"/>
      <c r="E125" s="18" t="n"/>
      <c r="F125" s="19">
        <f>IF(OR($B125="",$E125=""),"",IFERROR(IF(AND(INDEX('Intervals'!$G$4:$G$33,MATCH($B125,'Intervals'!$A$4:$A$33,0))&lt;&gt;"No",N(INDEX('Intervals'!$C$4:$C$33,MATCH($B125,'Intervals'!$A$4:$A$33,0)))&gt;0),$E125+N(INDEX('Intervals'!$C$4:$C$33,MATCH($B125,'Intervals'!$A$4:$A$33,0))),""),""))</f>
        <v/>
      </c>
      <c r="G125" s="20">
        <f>IF(OR($B125="",$D125=""),"",IFERROR(IF(AND(INDEX('Intervals'!$G$4:$G$33,MATCH($B125,'Intervals'!$A$4:$A$33,0))&lt;&gt;"No",N(INDEX('Intervals'!$D$4:$D$33,MATCH($B125,'Intervals'!$A$4:$A$33,0)))&gt;0),EDATE($D125,N(INDEX('Intervals'!$D$4:$D$33,MATCH($B125,'Intervals'!$A$4:$A$33,0)))),""),""))</f>
        <v/>
      </c>
      <c r="H125" s="19">
        <f>IF($A125="","",IFERROR(IF(N(INDEX('Cars'!$H$4:$H$103,MATCH($A125,'Cars'!$A$4:$A$103,0)))&gt;0,INDEX('Cars'!$H$4:$H$103,MATCH($A125,'Cars'!$A$4:$A$103,0)),""),""))</f>
        <v/>
      </c>
      <c r="I125" s="19">
        <f>IF(OR($F125="",$H125=""),"",$F125-$H125)</f>
        <v/>
      </c>
      <c r="J125" s="21">
        <f>IF($G125="","",$G125-TODAY())</f>
        <v/>
      </c>
      <c r="K125" s="21">
        <f>IF($I125="","",IFERROR(IF(N(INDEX('Cars'!$J$4:$J$103,MATCH($A125,'Cars'!$A$4:$A$103,0)))&gt;0,ROUND($I125/INDEX('Cars'!$J$4:$J$103,MATCH($A125,'Cars'!$A$4:$A$103,0))*30,0),""),""))</f>
        <v/>
      </c>
      <c r="L125" s="21">
        <f>IF(AND($J125="",$K125=""),"",MIN(IF($J125="",99999,$J125),IF($K125="",99999,$K125)))</f>
        <v/>
      </c>
      <c r="M125" s="16">
        <f>IF(AND($I125="",$J125=""),"",IF(OR(AND($I125&lt;&gt;"",N($I125)&lt;0),AND($J125&lt;&gt;"",N($J125)&lt;0)),"Overdue",IF(OR(AND($I125&lt;&gt;"",N($I125)&lt;=IFERROR(INDEX('Intervals'!$E$4:$E$33,MATCH($B125,'Intervals'!$A$4:$A$33,0)),500)),AND($J125&lt;&gt;"",N($J125)&lt;=IFERROR(INDEX('Intervals'!$F$4:$F$33,MATCH($B125,'Intervals'!$A$4:$A$33,0)),14))),"Due soon","OK")))</f>
        <v/>
      </c>
      <c r="N125" s="15" t="n"/>
      <c r="O125" s="22">
        <f>IF(OR($M125="",$M125="OK"),"",$L125+ROW()/100000)</f>
        <v/>
      </c>
    </row>
    <row r="126">
      <c r="A126" s="15" t="n"/>
      <c r="B126" s="15" t="n"/>
      <c r="C126" s="16">
        <f>IF($B126="","",IFERROR(INDEX('Intervals'!$B$4:$B$33,MATCH($B126,'Intervals'!$A$4:$A$33,0)),""))</f>
        <v/>
      </c>
      <c r="D126" s="17" t="n"/>
      <c r="E126" s="18" t="n"/>
      <c r="F126" s="19">
        <f>IF(OR($B126="",$E126=""),"",IFERROR(IF(AND(INDEX('Intervals'!$G$4:$G$33,MATCH($B126,'Intervals'!$A$4:$A$33,0))&lt;&gt;"No",N(INDEX('Intervals'!$C$4:$C$33,MATCH($B126,'Intervals'!$A$4:$A$33,0)))&gt;0),$E126+N(INDEX('Intervals'!$C$4:$C$33,MATCH($B126,'Intervals'!$A$4:$A$33,0))),""),""))</f>
        <v/>
      </c>
      <c r="G126" s="20">
        <f>IF(OR($B126="",$D126=""),"",IFERROR(IF(AND(INDEX('Intervals'!$G$4:$G$33,MATCH($B126,'Intervals'!$A$4:$A$33,0))&lt;&gt;"No",N(INDEX('Intervals'!$D$4:$D$33,MATCH($B126,'Intervals'!$A$4:$A$33,0)))&gt;0),EDATE($D126,N(INDEX('Intervals'!$D$4:$D$33,MATCH($B126,'Intervals'!$A$4:$A$33,0)))),""),""))</f>
        <v/>
      </c>
      <c r="H126" s="19">
        <f>IF($A126="","",IFERROR(IF(N(INDEX('Cars'!$H$4:$H$103,MATCH($A126,'Cars'!$A$4:$A$103,0)))&gt;0,INDEX('Cars'!$H$4:$H$103,MATCH($A126,'Cars'!$A$4:$A$103,0)),""),""))</f>
        <v/>
      </c>
      <c r="I126" s="19">
        <f>IF(OR($F126="",$H126=""),"",$F126-$H126)</f>
        <v/>
      </c>
      <c r="J126" s="21">
        <f>IF($G126="","",$G126-TODAY())</f>
        <v/>
      </c>
      <c r="K126" s="21">
        <f>IF($I126="","",IFERROR(IF(N(INDEX('Cars'!$J$4:$J$103,MATCH($A126,'Cars'!$A$4:$A$103,0)))&gt;0,ROUND($I126/INDEX('Cars'!$J$4:$J$103,MATCH($A126,'Cars'!$A$4:$A$103,0))*30,0),""),""))</f>
        <v/>
      </c>
      <c r="L126" s="21">
        <f>IF(AND($J126="",$K126=""),"",MIN(IF($J126="",99999,$J126),IF($K126="",99999,$K126)))</f>
        <v/>
      </c>
      <c r="M126" s="16">
        <f>IF(AND($I126="",$J126=""),"",IF(OR(AND($I126&lt;&gt;"",N($I126)&lt;0),AND($J126&lt;&gt;"",N($J126)&lt;0)),"Overdue",IF(OR(AND($I126&lt;&gt;"",N($I126)&lt;=IFERROR(INDEX('Intervals'!$E$4:$E$33,MATCH($B126,'Intervals'!$A$4:$A$33,0)),500)),AND($J126&lt;&gt;"",N($J126)&lt;=IFERROR(INDEX('Intervals'!$F$4:$F$33,MATCH($B126,'Intervals'!$A$4:$A$33,0)),14))),"Due soon","OK")))</f>
        <v/>
      </c>
      <c r="N126" s="15" t="n"/>
      <c r="O126" s="22">
        <f>IF(OR($M126="",$M126="OK"),"",$L126+ROW()/100000)</f>
        <v/>
      </c>
    </row>
    <row r="127">
      <c r="A127" s="15" t="n"/>
      <c r="B127" s="15" t="n"/>
      <c r="C127" s="16">
        <f>IF($B127="","",IFERROR(INDEX('Intervals'!$B$4:$B$33,MATCH($B127,'Intervals'!$A$4:$A$33,0)),""))</f>
        <v/>
      </c>
      <c r="D127" s="17" t="n"/>
      <c r="E127" s="18" t="n"/>
      <c r="F127" s="19">
        <f>IF(OR($B127="",$E127=""),"",IFERROR(IF(AND(INDEX('Intervals'!$G$4:$G$33,MATCH($B127,'Intervals'!$A$4:$A$33,0))&lt;&gt;"No",N(INDEX('Intervals'!$C$4:$C$33,MATCH($B127,'Intervals'!$A$4:$A$33,0)))&gt;0),$E127+N(INDEX('Intervals'!$C$4:$C$33,MATCH($B127,'Intervals'!$A$4:$A$33,0))),""),""))</f>
        <v/>
      </c>
      <c r="G127" s="20">
        <f>IF(OR($B127="",$D127=""),"",IFERROR(IF(AND(INDEX('Intervals'!$G$4:$G$33,MATCH($B127,'Intervals'!$A$4:$A$33,0))&lt;&gt;"No",N(INDEX('Intervals'!$D$4:$D$33,MATCH($B127,'Intervals'!$A$4:$A$33,0)))&gt;0),EDATE($D127,N(INDEX('Intervals'!$D$4:$D$33,MATCH($B127,'Intervals'!$A$4:$A$33,0)))),""),""))</f>
        <v/>
      </c>
      <c r="H127" s="19">
        <f>IF($A127="","",IFERROR(IF(N(INDEX('Cars'!$H$4:$H$103,MATCH($A127,'Cars'!$A$4:$A$103,0)))&gt;0,INDEX('Cars'!$H$4:$H$103,MATCH($A127,'Cars'!$A$4:$A$103,0)),""),""))</f>
        <v/>
      </c>
      <c r="I127" s="19">
        <f>IF(OR($F127="",$H127=""),"",$F127-$H127)</f>
        <v/>
      </c>
      <c r="J127" s="21">
        <f>IF($G127="","",$G127-TODAY())</f>
        <v/>
      </c>
      <c r="K127" s="21">
        <f>IF($I127="","",IFERROR(IF(N(INDEX('Cars'!$J$4:$J$103,MATCH($A127,'Cars'!$A$4:$A$103,0)))&gt;0,ROUND($I127/INDEX('Cars'!$J$4:$J$103,MATCH($A127,'Cars'!$A$4:$A$103,0))*30,0),""),""))</f>
        <v/>
      </c>
      <c r="L127" s="21">
        <f>IF(AND($J127="",$K127=""),"",MIN(IF($J127="",99999,$J127),IF($K127="",99999,$K127)))</f>
        <v/>
      </c>
      <c r="M127" s="16">
        <f>IF(AND($I127="",$J127=""),"",IF(OR(AND($I127&lt;&gt;"",N($I127)&lt;0),AND($J127&lt;&gt;"",N($J127)&lt;0)),"Overdue",IF(OR(AND($I127&lt;&gt;"",N($I127)&lt;=IFERROR(INDEX('Intervals'!$E$4:$E$33,MATCH($B127,'Intervals'!$A$4:$A$33,0)),500)),AND($J127&lt;&gt;"",N($J127)&lt;=IFERROR(INDEX('Intervals'!$F$4:$F$33,MATCH($B127,'Intervals'!$A$4:$A$33,0)),14))),"Due soon","OK")))</f>
        <v/>
      </c>
      <c r="N127" s="15" t="n"/>
      <c r="O127" s="22">
        <f>IF(OR($M127="",$M127="OK"),"",$L127+ROW()/100000)</f>
        <v/>
      </c>
    </row>
    <row r="128">
      <c r="A128" s="15" t="n"/>
      <c r="B128" s="15" t="n"/>
      <c r="C128" s="16">
        <f>IF($B128="","",IFERROR(INDEX('Intervals'!$B$4:$B$33,MATCH($B128,'Intervals'!$A$4:$A$33,0)),""))</f>
        <v/>
      </c>
      <c r="D128" s="17" t="n"/>
      <c r="E128" s="18" t="n"/>
      <c r="F128" s="19">
        <f>IF(OR($B128="",$E128=""),"",IFERROR(IF(AND(INDEX('Intervals'!$G$4:$G$33,MATCH($B128,'Intervals'!$A$4:$A$33,0))&lt;&gt;"No",N(INDEX('Intervals'!$C$4:$C$33,MATCH($B128,'Intervals'!$A$4:$A$33,0)))&gt;0),$E128+N(INDEX('Intervals'!$C$4:$C$33,MATCH($B128,'Intervals'!$A$4:$A$33,0))),""),""))</f>
        <v/>
      </c>
      <c r="G128" s="20">
        <f>IF(OR($B128="",$D128=""),"",IFERROR(IF(AND(INDEX('Intervals'!$G$4:$G$33,MATCH($B128,'Intervals'!$A$4:$A$33,0))&lt;&gt;"No",N(INDEX('Intervals'!$D$4:$D$33,MATCH($B128,'Intervals'!$A$4:$A$33,0)))&gt;0),EDATE($D128,N(INDEX('Intervals'!$D$4:$D$33,MATCH($B128,'Intervals'!$A$4:$A$33,0)))),""),""))</f>
        <v/>
      </c>
      <c r="H128" s="19">
        <f>IF($A128="","",IFERROR(IF(N(INDEX('Cars'!$H$4:$H$103,MATCH($A128,'Cars'!$A$4:$A$103,0)))&gt;0,INDEX('Cars'!$H$4:$H$103,MATCH($A128,'Cars'!$A$4:$A$103,0)),""),""))</f>
        <v/>
      </c>
      <c r="I128" s="19">
        <f>IF(OR($F128="",$H128=""),"",$F128-$H128)</f>
        <v/>
      </c>
      <c r="J128" s="21">
        <f>IF($G128="","",$G128-TODAY())</f>
        <v/>
      </c>
      <c r="K128" s="21">
        <f>IF($I128="","",IFERROR(IF(N(INDEX('Cars'!$J$4:$J$103,MATCH($A128,'Cars'!$A$4:$A$103,0)))&gt;0,ROUND($I128/INDEX('Cars'!$J$4:$J$103,MATCH($A128,'Cars'!$A$4:$A$103,0))*30,0),""),""))</f>
        <v/>
      </c>
      <c r="L128" s="21">
        <f>IF(AND($J128="",$K128=""),"",MIN(IF($J128="",99999,$J128),IF($K128="",99999,$K128)))</f>
        <v/>
      </c>
      <c r="M128" s="16">
        <f>IF(AND($I128="",$J128=""),"",IF(OR(AND($I128&lt;&gt;"",N($I128)&lt;0),AND($J128&lt;&gt;"",N($J128)&lt;0)),"Overdue",IF(OR(AND($I128&lt;&gt;"",N($I128)&lt;=IFERROR(INDEX('Intervals'!$E$4:$E$33,MATCH($B128,'Intervals'!$A$4:$A$33,0)),500)),AND($J128&lt;&gt;"",N($J128)&lt;=IFERROR(INDEX('Intervals'!$F$4:$F$33,MATCH($B128,'Intervals'!$A$4:$A$33,0)),14))),"Due soon","OK")))</f>
        <v/>
      </c>
      <c r="N128" s="15" t="n"/>
      <c r="O128" s="22">
        <f>IF(OR($M128="",$M128="OK"),"",$L128+ROW()/100000)</f>
        <v/>
      </c>
    </row>
    <row r="129">
      <c r="A129" s="15" t="n"/>
      <c r="B129" s="15" t="n"/>
      <c r="C129" s="16">
        <f>IF($B129="","",IFERROR(INDEX('Intervals'!$B$4:$B$33,MATCH($B129,'Intervals'!$A$4:$A$33,0)),""))</f>
        <v/>
      </c>
      <c r="D129" s="17" t="n"/>
      <c r="E129" s="18" t="n"/>
      <c r="F129" s="19">
        <f>IF(OR($B129="",$E129=""),"",IFERROR(IF(AND(INDEX('Intervals'!$G$4:$G$33,MATCH($B129,'Intervals'!$A$4:$A$33,0))&lt;&gt;"No",N(INDEX('Intervals'!$C$4:$C$33,MATCH($B129,'Intervals'!$A$4:$A$33,0)))&gt;0),$E129+N(INDEX('Intervals'!$C$4:$C$33,MATCH($B129,'Intervals'!$A$4:$A$33,0))),""),""))</f>
        <v/>
      </c>
      <c r="G129" s="20">
        <f>IF(OR($B129="",$D129=""),"",IFERROR(IF(AND(INDEX('Intervals'!$G$4:$G$33,MATCH($B129,'Intervals'!$A$4:$A$33,0))&lt;&gt;"No",N(INDEX('Intervals'!$D$4:$D$33,MATCH($B129,'Intervals'!$A$4:$A$33,0)))&gt;0),EDATE($D129,N(INDEX('Intervals'!$D$4:$D$33,MATCH($B129,'Intervals'!$A$4:$A$33,0)))),""),""))</f>
        <v/>
      </c>
      <c r="H129" s="19">
        <f>IF($A129="","",IFERROR(IF(N(INDEX('Cars'!$H$4:$H$103,MATCH($A129,'Cars'!$A$4:$A$103,0)))&gt;0,INDEX('Cars'!$H$4:$H$103,MATCH($A129,'Cars'!$A$4:$A$103,0)),""),""))</f>
        <v/>
      </c>
      <c r="I129" s="19">
        <f>IF(OR($F129="",$H129=""),"",$F129-$H129)</f>
        <v/>
      </c>
      <c r="J129" s="21">
        <f>IF($G129="","",$G129-TODAY())</f>
        <v/>
      </c>
      <c r="K129" s="21">
        <f>IF($I129="","",IFERROR(IF(N(INDEX('Cars'!$J$4:$J$103,MATCH($A129,'Cars'!$A$4:$A$103,0)))&gt;0,ROUND($I129/INDEX('Cars'!$J$4:$J$103,MATCH($A129,'Cars'!$A$4:$A$103,0))*30,0),""),""))</f>
        <v/>
      </c>
      <c r="L129" s="21">
        <f>IF(AND($J129="",$K129=""),"",MIN(IF($J129="",99999,$J129),IF($K129="",99999,$K129)))</f>
        <v/>
      </c>
      <c r="M129" s="16">
        <f>IF(AND($I129="",$J129=""),"",IF(OR(AND($I129&lt;&gt;"",N($I129)&lt;0),AND($J129&lt;&gt;"",N($J129)&lt;0)),"Overdue",IF(OR(AND($I129&lt;&gt;"",N($I129)&lt;=IFERROR(INDEX('Intervals'!$E$4:$E$33,MATCH($B129,'Intervals'!$A$4:$A$33,0)),500)),AND($J129&lt;&gt;"",N($J129)&lt;=IFERROR(INDEX('Intervals'!$F$4:$F$33,MATCH($B129,'Intervals'!$A$4:$A$33,0)),14))),"Due soon","OK")))</f>
        <v/>
      </c>
      <c r="N129" s="15" t="n"/>
      <c r="O129" s="22">
        <f>IF(OR($M129="",$M129="OK"),"",$L129+ROW()/100000)</f>
        <v/>
      </c>
    </row>
    <row r="130">
      <c r="A130" s="15" t="n"/>
      <c r="B130" s="15" t="n"/>
      <c r="C130" s="16">
        <f>IF($B130="","",IFERROR(INDEX('Intervals'!$B$4:$B$33,MATCH($B130,'Intervals'!$A$4:$A$33,0)),""))</f>
        <v/>
      </c>
      <c r="D130" s="17" t="n"/>
      <c r="E130" s="18" t="n"/>
      <c r="F130" s="19">
        <f>IF(OR($B130="",$E130=""),"",IFERROR(IF(AND(INDEX('Intervals'!$G$4:$G$33,MATCH($B130,'Intervals'!$A$4:$A$33,0))&lt;&gt;"No",N(INDEX('Intervals'!$C$4:$C$33,MATCH($B130,'Intervals'!$A$4:$A$33,0)))&gt;0),$E130+N(INDEX('Intervals'!$C$4:$C$33,MATCH($B130,'Intervals'!$A$4:$A$33,0))),""),""))</f>
        <v/>
      </c>
      <c r="G130" s="20">
        <f>IF(OR($B130="",$D130=""),"",IFERROR(IF(AND(INDEX('Intervals'!$G$4:$G$33,MATCH($B130,'Intervals'!$A$4:$A$33,0))&lt;&gt;"No",N(INDEX('Intervals'!$D$4:$D$33,MATCH($B130,'Intervals'!$A$4:$A$33,0)))&gt;0),EDATE($D130,N(INDEX('Intervals'!$D$4:$D$33,MATCH($B130,'Intervals'!$A$4:$A$33,0)))),""),""))</f>
        <v/>
      </c>
      <c r="H130" s="19">
        <f>IF($A130="","",IFERROR(IF(N(INDEX('Cars'!$H$4:$H$103,MATCH($A130,'Cars'!$A$4:$A$103,0)))&gt;0,INDEX('Cars'!$H$4:$H$103,MATCH($A130,'Cars'!$A$4:$A$103,0)),""),""))</f>
        <v/>
      </c>
      <c r="I130" s="19">
        <f>IF(OR($F130="",$H130=""),"",$F130-$H130)</f>
        <v/>
      </c>
      <c r="J130" s="21">
        <f>IF($G130="","",$G130-TODAY())</f>
        <v/>
      </c>
      <c r="K130" s="21">
        <f>IF($I130="","",IFERROR(IF(N(INDEX('Cars'!$J$4:$J$103,MATCH($A130,'Cars'!$A$4:$A$103,0)))&gt;0,ROUND($I130/INDEX('Cars'!$J$4:$J$103,MATCH($A130,'Cars'!$A$4:$A$103,0))*30,0),""),""))</f>
        <v/>
      </c>
      <c r="L130" s="21">
        <f>IF(AND($J130="",$K130=""),"",MIN(IF($J130="",99999,$J130),IF($K130="",99999,$K130)))</f>
        <v/>
      </c>
      <c r="M130" s="16">
        <f>IF(AND($I130="",$J130=""),"",IF(OR(AND($I130&lt;&gt;"",N($I130)&lt;0),AND($J130&lt;&gt;"",N($J130)&lt;0)),"Overdue",IF(OR(AND($I130&lt;&gt;"",N($I130)&lt;=IFERROR(INDEX('Intervals'!$E$4:$E$33,MATCH($B130,'Intervals'!$A$4:$A$33,0)),500)),AND($J130&lt;&gt;"",N($J130)&lt;=IFERROR(INDEX('Intervals'!$F$4:$F$33,MATCH($B130,'Intervals'!$A$4:$A$33,0)),14))),"Due soon","OK")))</f>
        <v/>
      </c>
      <c r="N130" s="15" t="n"/>
      <c r="O130" s="22">
        <f>IF(OR($M130="",$M130="OK"),"",$L130+ROW()/100000)</f>
        <v/>
      </c>
    </row>
    <row r="131">
      <c r="A131" s="15" t="n"/>
      <c r="B131" s="15" t="n"/>
      <c r="C131" s="16">
        <f>IF($B131="","",IFERROR(INDEX('Intervals'!$B$4:$B$33,MATCH($B131,'Intervals'!$A$4:$A$33,0)),""))</f>
        <v/>
      </c>
      <c r="D131" s="17" t="n"/>
      <c r="E131" s="18" t="n"/>
      <c r="F131" s="19">
        <f>IF(OR($B131="",$E131=""),"",IFERROR(IF(AND(INDEX('Intervals'!$G$4:$G$33,MATCH($B131,'Intervals'!$A$4:$A$33,0))&lt;&gt;"No",N(INDEX('Intervals'!$C$4:$C$33,MATCH($B131,'Intervals'!$A$4:$A$33,0)))&gt;0),$E131+N(INDEX('Intervals'!$C$4:$C$33,MATCH($B131,'Intervals'!$A$4:$A$33,0))),""),""))</f>
        <v/>
      </c>
      <c r="G131" s="20">
        <f>IF(OR($B131="",$D131=""),"",IFERROR(IF(AND(INDEX('Intervals'!$G$4:$G$33,MATCH($B131,'Intervals'!$A$4:$A$33,0))&lt;&gt;"No",N(INDEX('Intervals'!$D$4:$D$33,MATCH($B131,'Intervals'!$A$4:$A$33,0)))&gt;0),EDATE($D131,N(INDEX('Intervals'!$D$4:$D$33,MATCH($B131,'Intervals'!$A$4:$A$33,0)))),""),""))</f>
        <v/>
      </c>
      <c r="H131" s="19">
        <f>IF($A131="","",IFERROR(IF(N(INDEX('Cars'!$H$4:$H$103,MATCH($A131,'Cars'!$A$4:$A$103,0)))&gt;0,INDEX('Cars'!$H$4:$H$103,MATCH($A131,'Cars'!$A$4:$A$103,0)),""),""))</f>
        <v/>
      </c>
      <c r="I131" s="19">
        <f>IF(OR($F131="",$H131=""),"",$F131-$H131)</f>
        <v/>
      </c>
      <c r="J131" s="21">
        <f>IF($G131="","",$G131-TODAY())</f>
        <v/>
      </c>
      <c r="K131" s="21">
        <f>IF($I131="","",IFERROR(IF(N(INDEX('Cars'!$J$4:$J$103,MATCH($A131,'Cars'!$A$4:$A$103,0)))&gt;0,ROUND($I131/INDEX('Cars'!$J$4:$J$103,MATCH($A131,'Cars'!$A$4:$A$103,0))*30,0),""),""))</f>
        <v/>
      </c>
      <c r="L131" s="21">
        <f>IF(AND($J131="",$K131=""),"",MIN(IF($J131="",99999,$J131),IF($K131="",99999,$K131)))</f>
        <v/>
      </c>
      <c r="M131" s="16">
        <f>IF(AND($I131="",$J131=""),"",IF(OR(AND($I131&lt;&gt;"",N($I131)&lt;0),AND($J131&lt;&gt;"",N($J131)&lt;0)),"Overdue",IF(OR(AND($I131&lt;&gt;"",N($I131)&lt;=IFERROR(INDEX('Intervals'!$E$4:$E$33,MATCH($B131,'Intervals'!$A$4:$A$33,0)),500)),AND($J131&lt;&gt;"",N($J131)&lt;=IFERROR(INDEX('Intervals'!$F$4:$F$33,MATCH($B131,'Intervals'!$A$4:$A$33,0)),14))),"Due soon","OK")))</f>
        <v/>
      </c>
      <c r="N131" s="15" t="n"/>
      <c r="O131" s="22">
        <f>IF(OR($M131="",$M131="OK"),"",$L131+ROW()/100000)</f>
        <v/>
      </c>
    </row>
    <row r="132">
      <c r="A132" s="15" t="n"/>
      <c r="B132" s="15" t="n"/>
      <c r="C132" s="16">
        <f>IF($B132="","",IFERROR(INDEX('Intervals'!$B$4:$B$33,MATCH($B132,'Intervals'!$A$4:$A$33,0)),""))</f>
        <v/>
      </c>
      <c r="D132" s="17" t="n"/>
      <c r="E132" s="18" t="n"/>
      <c r="F132" s="19">
        <f>IF(OR($B132="",$E132=""),"",IFERROR(IF(AND(INDEX('Intervals'!$G$4:$G$33,MATCH($B132,'Intervals'!$A$4:$A$33,0))&lt;&gt;"No",N(INDEX('Intervals'!$C$4:$C$33,MATCH($B132,'Intervals'!$A$4:$A$33,0)))&gt;0),$E132+N(INDEX('Intervals'!$C$4:$C$33,MATCH($B132,'Intervals'!$A$4:$A$33,0))),""),""))</f>
        <v/>
      </c>
      <c r="G132" s="20">
        <f>IF(OR($B132="",$D132=""),"",IFERROR(IF(AND(INDEX('Intervals'!$G$4:$G$33,MATCH($B132,'Intervals'!$A$4:$A$33,0))&lt;&gt;"No",N(INDEX('Intervals'!$D$4:$D$33,MATCH($B132,'Intervals'!$A$4:$A$33,0)))&gt;0),EDATE($D132,N(INDEX('Intervals'!$D$4:$D$33,MATCH($B132,'Intervals'!$A$4:$A$33,0)))),""),""))</f>
        <v/>
      </c>
      <c r="H132" s="19">
        <f>IF($A132="","",IFERROR(IF(N(INDEX('Cars'!$H$4:$H$103,MATCH($A132,'Cars'!$A$4:$A$103,0)))&gt;0,INDEX('Cars'!$H$4:$H$103,MATCH($A132,'Cars'!$A$4:$A$103,0)),""),""))</f>
        <v/>
      </c>
      <c r="I132" s="19">
        <f>IF(OR($F132="",$H132=""),"",$F132-$H132)</f>
        <v/>
      </c>
      <c r="J132" s="21">
        <f>IF($G132="","",$G132-TODAY())</f>
        <v/>
      </c>
      <c r="K132" s="21">
        <f>IF($I132="","",IFERROR(IF(N(INDEX('Cars'!$J$4:$J$103,MATCH($A132,'Cars'!$A$4:$A$103,0)))&gt;0,ROUND($I132/INDEX('Cars'!$J$4:$J$103,MATCH($A132,'Cars'!$A$4:$A$103,0))*30,0),""),""))</f>
        <v/>
      </c>
      <c r="L132" s="21">
        <f>IF(AND($J132="",$K132=""),"",MIN(IF($J132="",99999,$J132),IF($K132="",99999,$K132)))</f>
        <v/>
      </c>
      <c r="M132" s="16">
        <f>IF(AND($I132="",$J132=""),"",IF(OR(AND($I132&lt;&gt;"",N($I132)&lt;0),AND($J132&lt;&gt;"",N($J132)&lt;0)),"Overdue",IF(OR(AND($I132&lt;&gt;"",N($I132)&lt;=IFERROR(INDEX('Intervals'!$E$4:$E$33,MATCH($B132,'Intervals'!$A$4:$A$33,0)),500)),AND($J132&lt;&gt;"",N($J132)&lt;=IFERROR(INDEX('Intervals'!$F$4:$F$33,MATCH($B132,'Intervals'!$A$4:$A$33,0)),14))),"Due soon","OK")))</f>
        <v/>
      </c>
      <c r="N132" s="15" t="n"/>
      <c r="O132" s="22">
        <f>IF(OR($M132="",$M132="OK"),"",$L132+ROW()/100000)</f>
        <v/>
      </c>
    </row>
    <row r="133">
      <c r="A133" s="15" t="n"/>
      <c r="B133" s="15" t="n"/>
      <c r="C133" s="16">
        <f>IF($B133="","",IFERROR(INDEX('Intervals'!$B$4:$B$33,MATCH($B133,'Intervals'!$A$4:$A$33,0)),""))</f>
        <v/>
      </c>
      <c r="D133" s="17" t="n"/>
      <c r="E133" s="18" t="n"/>
      <c r="F133" s="19">
        <f>IF(OR($B133="",$E133=""),"",IFERROR(IF(AND(INDEX('Intervals'!$G$4:$G$33,MATCH($B133,'Intervals'!$A$4:$A$33,0))&lt;&gt;"No",N(INDEX('Intervals'!$C$4:$C$33,MATCH($B133,'Intervals'!$A$4:$A$33,0)))&gt;0),$E133+N(INDEX('Intervals'!$C$4:$C$33,MATCH($B133,'Intervals'!$A$4:$A$33,0))),""),""))</f>
        <v/>
      </c>
      <c r="G133" s="20">
        <f>IF(OR($B133="",$D133=""),"",IFERROR(IF(AND(INDEX('Intervals'!$G$4:$G$33,MATCH($B133,'Intervals'!$A$4:$A$33,0))&lt;&gt;"No",N(INDEX('Intervals'!$D$4:$D$33,MATCH($B133,'Intervals'!$A$4:$A$33,0)))&gt;0),EDATE($D133,N(INDEX('Intervals'!$D$4:$D$33,MATCH($B133,'Intervals'!$A$4:$A$33,0)))),""),""))</f>
        <v/>
      </c>
      <c r="H133" s="19">
        <f>IF($A133="","",IFERROR(IF(N(INDEX('Cars'!$H$4:$H$103,MATCH($A133,'Cars'!$A$4:$A$103,0)))&gt;0,INDEX('Cars'!$H$4:$H$103,MATCH($A133,'Cars'!$A$4:$A$103,0)),""),""))</f>
        <v/>
      </c>
      <c r="I133" s="19">
        <f>IF(OR($F133="",$H133=""),"",$F133-$H133)</f>
        <v/>
      </c>
      <c r="J133" s="21">
        <f>IF($G133="","",$G133-TODAY())</f>
        <v/>
      </c>
      <c r="K133" s="21">
        <f>IF($I133="","",IFERROR(IF(N(INDEX('Cars'!$J$4:$J$103,MATCH($A133,'Cars'!$A$4:$A$103,0)))&gt;0,ROUND($I133/INDEX('Cars'!$J$4:$J$103,MATCH($A133,'Cars'!$A$4:$A$103,0))*30,0),""),""))</f>
        <v/>
      </c>
      <c r="L133" s="21">
        <f>IF(AND($J133="",$K133=""),"",MIN(IF($J133="",99999,$J133),IF($K133="",99999,$K133)))</f>
        <v/>
      </c>
      <c r="M133" s="16">
        <f>IF(AND($I133="",$J133=""),"",IF(OR(AND($I133&lt;&gt;"",N($I133)&lt;0),AND($J133&lt;&gt;"",N($J133)&lt;0)),"Overdue",IF(OR(AND($I133&lt;&gt;"",N($I133)&lt;=IFERROR(INDEX('Intervals'!$E$4:$E$33,MATCH($B133,'Intervals'!$A$4:$A$33,0)),500)),AND($J133&lt;&gt;"",N($J133)&lt;=IFERROR(INDEX('Intervals'!$F$4:$F$33,MATCH($B133,'Intervals'!$A$4:$A$33,0)),14))),"Due soon","OK")))</f>
        <v/>
      </c>
      <c r="N133" s="15" t="n"/>
      <c r="O133" s="22">
        <f>IF(OR($M133="",$M133="OK"),"",$L133+ROW()/100000)</f>
        <v/>
      </c>
    </row>
    <row r="134">
      <c r="A134" s="15" t="n"/>
      <c r="B134" s="15" t="n"/>
      <c r="C134" s="16">
        <f>IF($B134="","",IFERROR(INDEX('Intervals'!$B$4:$B$33,MATCH($B134,'Intervals'!$A$4:$A$33,0)),""))</f>
        <v/>
      </c>
      <c r="D134" s="17" t="n"/>
      <c r="E134" s="18" t="n"/>
      <c r="F134" s="19">
        <f>IF(OR($B134="",$E134=""),"",IFERROR(IF(AND(INDEX('Intervals'!$G$4:$G$33,MATCH($B134,'Intervals'!$A$4:$A$33,0))&lt;&gt;"No",N(INDEX('Intervals'!$C$4:$C$33,MATCH($B134,'Intervals'!$A$4:$A$33,0)))&gt;0),$E134+N(INDEX('Intervals'!$C$4:$C$33,MATCH($B134,'Intervals'!$A$4:$A$33,0))),""),""))</f>
        <v/>
      </c>
      <c r="G134" s="20">
        <f>IF(OR($B134="",$D134=""),"",IFERROR(IF(AND(INDEX('Intervals'!$G$4:$G$33,MATCH($B134,'Intervals'!$A$4:$A$33,0))&lt;&gt;"No",N(INDEX('Intervals'!$D$4:$D$33,MATCH($B134,'Intervals'!$A$4:$A$33,0)))&gt;0),EDATE($D134,N(INDEX('Intervals'!$D$4:$D$33,MATCH($B134,'Intervals'!$A$4:$A$33,0)))),""),""))</f>
        <v/>
      </c>
      <c r="H134" s="19">
        <f>IF($A134="","",IFERROR(IF(N(INDEX('Cars'!$H$4:$H$103,MATCH($A134,'Cars'!$A$4:$A$103,0)))&gt;0,INDEX('Cars'!$H$4:$H$103,MATCH($A134,'Cars'!$A$4:$A$103,0)),""),""))</f>
        <v/>
      </c>
      <c r="I134" s="19">
        <f>IF(OR($F134="",$H134=""),"",$F134-$H134)</f>
        <v/>
      </c>
      <c r="J134" s="21">
        <f>IF($G134="","",$G134-TODAY())</f>
        <v/>
      </c>
      <c r="K134" s="21">
        <f>IF($I134="","",IFERROR(IF(N(INDEX('Cars'!$J$4:$J$103,MATCH($A134,'Cars'!$A$4:$A$103,0)))&gt;0,ROUND($I134/INDEX('Cars'!$J$4:$J$103,MATCH($A134,'Cars'!$A$4:$A$103,0))*30,0),""),""))</f>
        <v/>
      </c>
      <c r="L134" s="21">
        <f>IF(AND($J134="",$K134=""),"",MIN(IF($J134="",99999,$J134),IF($K134="",99999,$K134)))</f>
        <v/>
      </c>
      <c r="M134" s="16">
        <f>IF(AND($I134="",$J134=""),"",IF(OR(AND($I134&lt;&gt;"",N($I134)&lt;0),AND($J134&lt;&gt;"",N($J134)&lt;0)),"Overdue",IF(OR(AND($I134&lt;&gt;"",N($I134)&lt;=IFERROR(INDEX('Intervals'!$E$4:$E$33,MATCH($B134,'Intervals'!$A$4:$A$33,0)),500)),AND($J134&lt;&gt;"",N($J134)&lt;=IFERROR(INDEX('Intervals'!$F$4:$F$33,MATCH($B134,'Intervals'!$A$4:$A$33,0)),14))),"Due soon","OK")))</f>
        <v/>
      </c>
      <c r="N134" s="15" t="n"/>
      <c r="O134" s="22">
        <f>IF(OR($M134="",$M134="OK"),"",$L134+ROW()/100000)</f>
        <v/>
      </c>
    </row>
    <row r="135">
      <c r="A135" s="15" t="n"/>
      <c r="B135" s="15" t="n"/>
      <c r="C135" s="16">
        <f>IF($B135="","",IFERROR(INDEX('Intervals'!$B$4:$B$33,MATCH($B135,'Intervals'!$A$4:$A$33,0)),""))</f>
        <v/>
      </c>
      <c r="D135" s="17" t="n"/>
      <c r="E135" s="18" t="n"/>
      <c r="F135" s="19">
        <f>IF(OR($B135="",$E135=""),"",IFERROR(IF(AND(INDEX('Intervals'!$G$4:$G$33,MATCH($B135,'Intervals'!$A$4:$A$33,0))&lt;&gt;"No",N(INDEX('Intervals'!$C$4:$C$33,MATCH($B135,'Intervals'!$A$4:$A$33,0)))&gt;0),$E135+N(INDEX('Intervals'!$C$4:$C$33,MATCH($B135,'Intervals'!$A$4:$A$33,0))),""),""))</f>
        <v/>
      </c>
      <c r="G135" s="20">
        <f>IF(OR($B135="",$D135=""),"",IFERROR(IF(AND(INDEX('Intervals'!$G$4:$G$33,MATCH($B135,'Intervals'!$A$4:$A$33,0))&lt;&gt;"No",N(INDEX('Intervals'!$D$4:$D$33,MATCH($B135,'Intervals'!$A$4:$A$33,0)))&gt;0),EDATE($D135,N(INDEX('Intervals'!$D$4:$D$33,MATCH($B135,'Intervals'!$A$4:$A$33,0)))),""),""))</f>
        <v/>
      </c>
      <c r="H135" s="19">
        <f>IF($A135="","",IFERROR(IF(N(INDEX('Cars'!$H$4:$H$103,MATCH($A135,'Cars'!$A$4:$A$103,0)))&gt;0,INDEX('Cars'!$H$4:$H$103,MATCH($A135,'Cars'!$A$4:$A$103,0)),""),""))</f>
        <v/>
      </c>
      <c r="I135" s="19">
        <f>IF(OR($F135="",$H135=""),"",$F135-$H135)</f>
        <v/>
      </c>
      <c r="J135" s="21">
        <f>IF($G135="","",$G135-TODAY())</f>
        <v/>
      </c>
      <c r="K135" s="21">
        <f>IF($I135="","",IFERROR(IF(N(INDEX('Cars'!$J$4:$J$103,MATCH($A135,'Cars'!$A$4:$A$103,0)))&gt;0,ROUND($I135/INDEX('Cars'!$J$4:$J$103,MATCH($A135,'Cars'!$A$4:$A$103,0))*30,0),""),""))</f>
        <v/>
      </c>
      <c r="L135" s="21">
        <f>IF(AND($J135="",$K135=""),"",MIN(IF($J135="",99999,$J135),IF($K135="",99999,$K135)))</f>
        <v/>
      </c>
      <c r="M135" s="16">
        <f>IF(AND($I135="",$J135=""),"",IF(OR(AND($I135&lt;&gt;"",N($I135)&lt;0),AND($J135&lt;&gt;"",N($J135)&lt;0)),"Overdue",IF(OR(AND($I135&lt;&gt;"",N($I135)&lt;=IFERROR(INDEX('Intervals'!$E$4:$E$33,MATCH($B135,'Intervals'!$A$4:$A$33,0)),500)),AND($J135&lt;&gt;"",N($J135)&lt;=IFERROR(INDEX('Intervals'!$F$4:$F$33,MATCH($B135,'Intervals'!$A$4:$A$33,0)),14))),"Due soon","OK")))</f>
        <v/>
      </c>
      <c r="N135" s="15" t="n"/>
      <c r="O135" s="22">
        <f>IF(OR($M135="",$M135="OK"),"",$L135+ROW()/100000)</f>
        <v/>
      </c>
    </row>
    <row r="136">
      <c r="A136" s="15" t="n"/>
      <c r="B136" s="15" t="n"/>
      <c r="C136" s="16">
        <f>IF($B136="","",IFERROR(INDEX('Intervals'!$B$4:$B$33,MATCH($B136,'Intervals'!$A$4:$A$33,0)),""))</f>
        <v/>
      </c>
      <c r="D136" s="17" t="n"/>
      <c r="E136" s="18" t="n"/>
      <c r="F136" s="19">
        <f>IF(OR($B136="",$E136=""),"",IFERROR(IF(AND(INDEX('Intervals'!$G$4:$G$33,MATCH($B136,'Intervals'!$A$4:$A$33,0))&lt;&gt;"No",N(INDEX('Intervals'!$C$4:$C$33,MATCH($B136,'Intervals'!$A$4:$A$33,0)))&gt;0),$E136+N(INDEX('Intervals'!$C$4:$C$33,MATCH($B136,'Intervals'!$A$4:$A$33,0))),""),""))</f>
        <v/>
      </c>
      <c r="G136" s="20">
        <f>IF(OR($B136="",$D136=""),"",IFERROR(IF(AND(INDEX('Intervals'!$G$4:$G$33,MATCH($B136,'Intervals'!$A$4:$A$33,0))&lt;&gt;"No",N(INDEX('Intervals'!$D$4:$D$33,MATCH($B136,'Intervals'!$A$4:$A$33,0)))&gt;0),EDATE($D136,N(INDEX('Intervals'!$D$4:$D$33,MATCH($B136,'Intervals'!$A$4:$A$33,0)))),""),""))</f>
        <v/>
      </c>
      <c r="H136" s="19">
        <f>IF($A136="","",IFERROR(IF(N(INDEX('Cars'!$H$4:$H$103,MATCH($A136,'Cars'!$A$4:$A$103,0)))&gt;0,INDEX('Cars'!$H$4:$H$103,MATCH($A136,'Cars'!$A$4:$A$103,0)),""),""))</f>
        <v/>
      </c>
      <c r="I136" s="19">
        <f>IF(OR($F136="",$H136=""),"",$F136-$H136)</f>
        <v/>
      </c>
      <c r="J136" s="21">
        <f>IF($G136="","",$G136-TODAY())</f>
        <v/>
      </c>
      <c r="K136" s="21">
        <f>IF($I136="","",IFERROR(IF(N(INDEX('Cars'!$J$4:$J$103,MATCH($A136,'Cars'!$A$4:$A$103,0)))&gt;0,ROUND($I136/INDEX('Cars'!$J$4:$J$103,MATCH($A136,'Cars'!$A$4:$A$103,0))*30,0),""),""))</f>
        <v/>
      </c>
      <c r="L136" s="21">
        <f>IF(AND($J136="",$K136=""),"",MIN(IF($J136="",99999,$J136),IF($K136="",99999,$K136)))</f>
        <v/>
      </c>
      <c r="M136" s="16">
        <f>IF(AND($I136="",$J136=""),"",IF(OR(AND($I136&lt;&gt;"",N($I136)&lt;0),AND($J136&lt;&gt;"",N($J136)&lt;0)),"Overdue",IF(OR(AND($I136&lt;&gt;"",N($I136)&lt;=IFERROR(INDEX('Intervals'!$E$4:$E$33,MATCH($B136,'Intervals'!$A$4:$A$33,0)),500)),AND($J136&lt;&gt;"",N($J136)&lt;=IFERROR(INDEX('Intervals'!$F$4:$F$33,MATCH($B136,'Intervals'!$A$4:$A$33,0)),14))),"Due soon","OK")))</f>
        <v/>
      </c>
      <c r="N136" s="15" t="n"/>
      <c r="O136" s="22">
        <f>IF(OR($M136="",$M136="OK"),"",$L136+ROW()/100000)</f>
        <v/>
      </c>
    </row>
    <row r="137">
      <c r="A137" s="15" t="n"/>
      <c r="B137" s="15" t="n"/>
      <c r="C137" s="16">
        <f>IF($B137="","",IFERROR(INDEX('Intervals'!$B$4:$B$33,MATCH($B137,'Intervals'!$A$4:$A$33,0)),""))</f>
        <v/>
      </c>
      <c r="D137" s="17" t="n"/>
      <c r="E137" s="18" t="n"/>
      <c r="F137" s="19">
        <f>IF(OR($B137="",$E137=""),"",IFERROR(IF(AND(INDEX('Intervals'!$G$4:$G$33,MATCH($B137,'Intervals'!$A$4:$A$33,0))&lt;&gt;"No",N(INDEX('Intervals'!$C$4:$C$33,MATCH($B137,'Intervals'!$A$4:$A$33,0)))&gt;0),$E137+N(INDEX('Intervals'!$C$4:$C$33,MATCH($B137,'Intervals'!$A$4:$A$33,0))),""),""))</f>
        <v/>
      </c>
      <c r="G137" s="20">
        <f>IF(OR($B137="",$D137=""),"",IFERROR(IF(AND(INDEX('Intervals'!$G$4:$G$33,MATCH($B137,'Intervals'!$A$4:$A$33,0))&lt;&gt;"No",N(INDEX('Intervals'!$D$4:$D$33,MATCH($B137,'Intervals'!$A$4:$A$33,0)))&gt;0),EDATE($D137,N(INDEX('Intervals'!$D$4:$D$33,MATCH($B137,'Intervals'!$A$4:$A$33,0)))),""),""))</f>
        <v/>
      </c>
      <c r="H137" s="19">
        <f>IF($A137="","",IFERROR(IF(N(INDEX('Cars'!$H$4:$H$103,MATCH($A137,'Cars'!$A$4:$A$103,0)))&gt;0,INDEX('Cars'!$H$4:$H$103,MATCH($A137,'Cars'!$A$4:$A$103,0)),""),""))</f>
        <v/>
      </c>
      <c r="I137" s="19">
        <f>IF(OR($F137="",$H137=""),"",$F137-$H137)</f>
        <v/>
      </c>
      <c r="J137" s="21">
        <f>IF($G137="","",$G137-TODAY())</f>
        <v/>
      </c>
      <c r="K137" s="21">
        <f>IF($I137="","",IFERROR(IF(N(INDEX('Cars'!$J$4:$J$103,MATCH($A137,'Cars'!$A$4:$A$103,0)))&gt;0,ROUND($I137/INDEX('Cars'!$J$4:$J$103,MATCH($A137,'Cars'!$A$4:$A$103,0))*30,0),""),""))</f>
        <v/>
      </c>
      <c r="L137" s="21">
        <f>IF(AND($J137="",$K137=""),"",MIN(IF($J137="",99999,$J137),IF($K137="",99999,$K137)))</f>
        <v/>
      </c>
      <c r="M137" s="16">
        <f>IF(AND($I137="",$J137=""),"",IF(OR(AND($I137&lt;&gt;"",N($I137)&lt;0),AND($J137&lt;&gt;"",N($J137)&lt;0)),"Overdue",IF(OR(AND($I137&lt;&gt;"",N($I137)&lt;=IFERROR(INDEX('Intervals'!$E$4:$E$33,MATCH($B137,'Intervals'!$A$4:$A$33,0)),500)),AND($J137&lt;&gt;"",N($J137)&lt;=IFERROR(INDEX('Intervals'!$F$4:$F$33,MATCH($B137,'Intervals'!$A$4:$A$33,0)),14))),"Due soon","OK")))</f>
        <v/>
      </c>
      <c r="N137" s="15" t="n"/>
      <c r="O137" s="22">
        <f>IF(OR($M137="",$M137="OK"),"",$L137+ROW()/100000)</f>
        <v/>
      </c>
    </row>
    <row r="138">
      <c r="A138" s="15" t="n"/>
      <c r="B138" s="15" t="n"/>
      <c r="C138" s="16">
        <f>IF($B138="","",IFERROR(INDEX('Intervals'!$B$4:$B$33,MATCH($B138,'Intervals'!$A$4:$A$33,0)),""))</f>
        <v/>
      </c>
      <c r="D138" s="17" t="n"/>
      <c r="E138" s="18" t="n"/>
      <c r="F138" s="19">
        <f>IF(OR($B138="",$E138=""),"",IFERROR(IF(AND(INDEX('Intervals'!$G$4:$G$33,MATCH($B138,'Intervals'!$A$4:$A$33,0))&lt;&gt;"No",N(INDEX('Intervals'!$C$4:$C$33,MATCH($B138,'Intervals'!$A$4:$A$33,0)))&gt;0),$E138+N(INDEX('Intervals'!$C$4:$C$33,MATCH($B138,'Intervals'!$A$4:$A$33,0))),""),""))</f>
        <v/>
      </c>
      <c r="G138" s="20">
        <f>IF(OR($B138="",$D138=""),"",IFERROR(IF(AND(INDEX('Intervals'!$G$4:$G$33,MATCH($B138,'Intervals'!$A$4:$A$33,0))&lt;&gt;"No",N(INDEX('Intervals'!$D$4:$D$33,MATCH($B138,'Intervals'!$A$4:$A$33,0)))&gt;0),EDATE($D138,N(INDEX('Intervals'!$D$4:$D$33,MATCH($B138,'Intervals'!$A$4:$A$33,0)))),""),""))</f>
        <v/>
      </c>
      <c r="H138" s="19">
        <f>IF($A138="","",IFERROR(IF(N(INDEX('Cars'!$H$4:$H$103,MATCH($A138,'Cars'!$A$4:$A$103,0)))&gt;0,INDEX('Cars'!$H$4:$H$103,MATCH($A138,'Cars'!$A$4:$A$103,0)),""),""))</f>
        <v/>
      </c>
      <c r="I138" s="19">
        <f>IF(OR($F138="",$H138=""),"",$F138-$H138)</f>
        <v/>
      </c>
      <c r="J138" s="21">
        <f>IF($G138="","",$G138-TODAY())</f>
        <v/>
      </c>
      <c r="K138" s="21">
        <f>IF($I138="","",IFERROR(IF(N(INDEX('Cars'!$J$4:$J$103,MATCH($A138,'Cars'!$A$4:$A$103,0)))&gt;0,ROUND($I138/INDEX('Cars'!$J$4:$J$103,MATCH($A138,'Cars'!$A$4:$A$103,0))*30,0),""),""))</f>
        <v/>
      </c>
      <c r="L138" s="21">
        <f>IF(AND($J138="",$K138=""),"",MIN(IF($J138="",99999,$J138),IF($K138="",99999,$K138)))</f>
        <v/>
      </c>
      <c r="M138" s="16">
        <f>IF(AND($I138="",$J138=""),"",IF(OR(AND($I138&lt;&gt;"",N($I138)&lt;0),AND($J138&lt;&gt;"",N($J138)&lt;0)),"Overdue",IF(OR(AND($I138&lt;&gt;"",N($I138)&lt;=IFERROR(INDEX('Intervals'!$E$4:$E$33,MATCH($B138,'Intervals'!$A$4:$A$33,0)),500)),AND($J138&lt;&gt;"",N($J138)&lt;=IFERROR(INDEX('Intervals'!$F$4:$F$33,MATCH($B138,'Intervals'!$A$4:$A$33,0)),14))),"Due soon","OK")))</f>
        <v/>
      </c>
      <c r="N138" s="15" t="n"/>
      <c r="O138" s="22">
        <f>IF(OR($M138="",$M138="OK"),"",$L138+ROW()/100000)</f>
        <v/>
      </c>
    </row>
    <row r="139">
      <c r="A139" s="15" t="n"/>
      <c r="B139" s="15" t="n"/>
      <c r="C139" s="16">
        <f>IF($B139="","",IFERROR(INDEX('Intervals'!$B$4:$B$33,MATCH($B139,'Intervals'!$A$4:$A$33,0)),""))</f>
        <v/>
      </c>
      <c r="D139" s="17" t="n"/>
      <c r="E139" s="18" t="n"/>
      <c r="F139" s="19">
        <f>IF(OR($B139="",$E139=""),"",IFERROR(IF(AND(INDEX('Intervals'!$G$4:$G$33,MATCH($B139,'Intervals'!$A$4:$A$33,0))&lt;&gt;"No",N(INDEX('Intervals'!$C$4:$C$33,MATCH($B139,'Intervals'!$A$4:$A$33,0)))&gt;0),$E139+N(INDEX('Intervals'!$C$4:$C$33,MATCH($B139,'Intervals'!$A$4:$A$33,0))),""),""))</f>
        <v/>
      </c>
      <c r="G139" s="20">
        <f>IF(OR($B139="",$D139=""),"",IFERROR(IF(AND(INDEX('Intervals'!$G$4:$G$33,MATCH($B139,'Intervals'!$A$4:$A$33,0))&lt;&gt;"No",N(INDEX('Intervals'!$D$4:$D$33,MATCH($B139,'Intervals'!$A$4:$A$33,0)))&gt;0),EDATE($D139,N(INDEX('Intervals'!$D$4:$D$33,MATCH($B139,'Intervals'!$A$4:$A$33,0)))),""),""))</f>
        <v/>
      </c>
      <c r="H139" s="19">
        <f>IF($A139="","",IFERROR(IF(N(INDEX('Cars'!$H$4:$H$103,MATCH($A139,'Cars'!$A$4:$A$103,0)))&gt;0,INDEX('Cars'!$H$4:$H$103,MATCH($A139,'Cars'!$A$4:$A$103,0)),""),""))</f>
        <v/>
      </c>
      <c r="I139" s="19">
        <f>IF(OR($F139="",$H139=""),"",$F139-$H139)</f>
        <v/>
      </c>
      <c r="J139" s="21">
        <f>IF($G139="","",$G139-TODAY())</f>
        <v/>
      </c>
      <c r="K139" s="21">
        <f>IF($I139="","",IFERROR(IF(N(INDEX('Cars'!$J$4:$J$103,MATCH($A139,'Cars'!$A$4:$A$103,0)))&gt;0,ROUND($I139/INDEX('Cars'!$J$4:$J$103,MATCH($A139,'Cars'!$A$4:$A$103,0))*30,0),""),""))</f>
        <v/>
      </c>
      <c r="L139" s="21">
        <f>IF(AND($J139="",$K139=""),"",MIN(IF($J139="",99999,$J139),IF($K139="",99999,$K139)))</f>
        <v/>
      </c>
      <c r="M139" s="16">
        <f>IF(AND($I139="",$J139=""),"",IF(OR(AND($I139&lt;&gt;"",N($I139)&lt;0),AND($J139&lt;&gt;"",N($J139)&lt;0)),"Overdue",IF(OR(AND($I139&lt;&gt;"",N($I139)&lt;=IFERROR(INDEX('Intervals'!$E$4:$E$33,MATCH($B139,'Intervals'!$A$4:$A$33,0)),500)),AND($J139&lt;&gt;"",N($J139)&lt;=IFERROR(INDEX('Intervals'!$F$4:$F$33,MATCH($B139,'Intervals'!$A$4:$A$33,0)),14))),"Due soon","OK")))</f>
        <v/>
      </c>
      <c r="N139" s="15" t="n"/>
      <c r="O139" s="22">
        <f>IF(OR($M139="",$M139="OK"),"",$L139+ROW()/100000)</f>
        <v/>
      </c>
    </row>
    <row r="140">
      <c r="A140" s="15" t="n"/>
      <c r="B140" s="15" t="n"/>
      <c r="C140" s="16">
        <f>IF($B140="","",IFERROR(INDEX('Intervals'!$B$4:$B$33,MATCH($B140,'Intervals'!$A$4:$A$33,0)),""))</f>
        <v/>
      </c>
      <c r="D140" s="17" t="n"/>
      <c r="E140" s="18" t="n"/>
      <c r="F140" s="19">
        <f>IF(OR($B140="",$E140=""),"",IFERROR(IF(AND(INDEX('Intervals'!$G$4:$G$33,MATCH($B140,'Intervals'!$A$4:$A$33,0))&lt;&gt;"No",N(INDEX('Intervals'!$C$4:$C$33,MATCH($B140,'Intervals'!$A$4:$A$33,0)))&gt;0),$E140+N(INDEX('Intervals'!$C$4:$C$33,MATCH($B140,'Intervals'!$A$4:$A$33,0))),""),""))</f>
        <v/>
      </c>
      <c r="G140" s="20">
        <f>IF(OR($B140="",$D140=""),"",IFERROR(IF(AND(INDEX('Intervals'!$G$4:$G$33,MATCH($B140,'Intervals'!$A$4:$A$33,0))&lt;&gt;"No",N(INDEX('Intervals'!$D$4:$D$33,MATCH($B140,'Intervals'!$A$4:$A$33,0)))&gt;0),EDATE($D140,N(INDEX('Intervals'!$D$4:$D$33,MATCH($B140,'Intervals'!$A$4:$A$33,0)))),""),""))</f>
        <v/>
      </c>
      <c r="H140" s="19">
        <f>IF($A140="","",IFERROR(IF(N(INDEX('Cars'!$H$4:$H$103,MATCH($A140,'Cars'!$A$4:$A$103,0)))&gt;0,INDEX('Cars'!$H$4:$H$103,MATCH($A140,'Cars'!$A$4:$A$103,0)),""),""))</f>
        <v/>
      </c>
      <c r="I140" s="19">
        <f>IF(OR($F140="",$H140=""),"",$F140-$H140)</f>
        <v/>
      </c>
      <c r="J140" s="21">
        <f>IF($G140="","",$G140-TODAY())</f>
        <v/>
      </c>
      <c r="K140" s="21">
        <f>IF($I140="","",IFERROR(IF(N(INDEX('Cars'!$J$4:$J$103,MATCH($A140,'Cars'!$A$4:$A$103,0)))&gt;0,ROUND($I140/INDEX('Cars'!$J$4:$J$103,MATCH($A140,'Cars'!$A$4:$A$103,0))*30,0),""),""))</f>
        <v/>
      </c>
      <c r="L140" s="21">
        <f>IF(AND($J140="",$K140=""),"",MIN(IF($J140="",99999,$J140),IF($K140="",99999,$K140)))</f>
        <v/>
      </c>
      <c r="M140" s="16">
        <f>IF(AND($I140="",$J140=""),"",IF(OR(AND($I140&lt;&gt;"",N($I140)&lt;0),AND($J140&lt;&gt;"",N($J140)&lt;0)),"Overdue",IF(OR(AND($I140&lt;&gt;"",N($I140)&lt;=IFERROR(INDEX('Intervals'!$E$4:$E$33,MATCH($B140,'Intervals'!$A$4:$A$33,0)),500)),AND($J140&lt;&gt;"",N($J140)&lt;=IFERROR(INDEX('Intervals'!$F$4:$F$33,MATCH($B140,'Intervals'!$A$4:$A$33,0)),14))),"Due soon","OK")))</f>
        <v/>
      </c>
      <c r="N140" s="15" t="n"/>
      <c r="O140" s="22">
        <f>IF(OR($M140="",$M140="OK"),"",$L140+ROW()/100000)</f>
        <v/>
      </c>
    </row>
    <row r="141">
      <c r="A141" s="15" t="n"/>
      <c r="B141" s="15" t="n"/>
      <c r="C141" s="16">
        <f>IF($B141="","",IFERROR(INDEX('Intervals'!$B$4:$B$33,MATCH($B141,'Intervals'!$A$4:$A$33,0)),""))</f>
        <v/>
      </c>
      <c r="D141" s="17" t="n"/>
      <c r="E141" s="18" t="n"/>
      <c r="F141" s="19">
        <f>IF(OR($B141="",$E141=""),"",IFERROR(IF(AND(INDEX('Intervals'!$G$4:$G$33,MATCH($B141,'Intervals'!$A$4:$A$33,0))&lt;&gt;"No",N(INDEX('Intervals'!$C$4:$C$33,MATCH($B141,'Intervals'!$A$4:$A$33,0)))&gt;0),$E141+N(INDEX('Intervals'!$C$4:$C$33,MATCH($B141,'Intervals'!$A$4:$A$33,0))),""),""))</f>
        <v/>
      </c>
      <c r="G141" s="20">
        <f>IF(OR($B141="",$D141=""),"",IFERROR(IF(AND(INDEX('Intervals'!$G$4:$G$33,MATCH($B141,'Intervals'!$A$4:$A$33,0))&lt;&gt;"No",N(INDEX('Intervals'!$D$4:$D$33,MATCH($B141,'Intervals'!$A$4:$A$33,0)))&gt;0),EDATE($D141,N(INDEX('Intervals'!$D$4:$D$33,MATCH($B141,'Intervals'!$A$4:$A$33,0)))),""),""))</f>
        <v/>
      </c>
      <c r="H141" s="19">
        <f>IF($A141="","",IFERROR(IF(N(INDEX('Cars'!$H$4:$H$103,MATCH($A141,'Cars'!$A$4:$A$103,0)))&gt;0,INDEX('Cars'!$H$4:$H$103,MATCH($A141,'Cars'!$A$4:$A$103,0)),""),""))</f>
        <v/>
      </c>
      <c r="I141" s="19">
        <f>IF(OR($F141="",$H141=""),"",$F141-$H141)</f>
        <v/>
      </c>
      <c r="J141" s="21">
        <f>IF($G141="","",$G141-TODAY())</f>
        <v/>
      </c>
      <c r="K141" s="21">
        <f>IF($I141="","",IFERROR(IF(N(INDEX('Cars'!$J$4:$J$103,MATCH($A141,'Cars'!$A$4:$A$103,0)))&gt;0,ROUND($I141/INDEX('Cars'!$J$4:$J$103,MATCH($A141,'Cars'!$A$4:$A$103,0))*30,0),""),""))</f>
        <v/>
      </c>
      <c r="L141" s="21">
        <f>IF(AND($J141="",$K141=""),"",MIN(IF($J141="",99999,$J141),IF($K141="",99999,$K141)))</f>
        <v/>
      </c>
      <c r="M141" s="16">
        <f>IF(AND($I141="",$J141=""),"",IF(OR(AND($I141&lt;&gt;"",N($I141)&lt;0),AND($J141&lt;&gt;"",N($J141)&lt;0)),"Overdue",IF(OR(AND($I141&lt;&gt;"",N($I141)&lt;=IFERROR(INDEX('Intervals'!$E$4:$E$33,MATCH($B141,'Intervals'!$A$4:$A$33,0)),500)),AND($J141&lt;&gt;"",N($J141)&lt;=IFERROR(INDEX('Intervals'!$F$4:$F$33,MATCH($B141,'Intervals'!$A$4:$A$33,0)),14))),"Due soon","OK")))</f>
        <v/>
      </c>
      <c r="N141" s="15" t="n"/>
      <c r="O141" s="22">
        <f>IF(OR($M141="",$M141="OK"),"",$L141+ROW()/100000)</f>
        <v/>
      </c>
    </row>
    <row r="142">
      <c r="A142" s="15" t="n"/>
      <c r="B142" s="15" t="n"/>
      <c r="C142" s="16">
        <f>IF($B142="","",IFERROR(INDEX('Intervals'!$B$4:$B$33,MATCH($B142,'Intervals'!$A$4:$A$33,0)),""))</f>
        <v/>
      </c>
      <c r="D142" s="17" t="n"/>
      <c r="E142" s="18" t="n"/>
      <c r="F142" s="19">
        <f>IF(OR($B142="",$E142=""),"",IFERROR(IF(AND(INDEX('Intervals'!$G$4:$G$33,MATCH($B142,'Intervals'!$A$4:$A$33,0))&lt;&gt;"No",N(INDEX('Intervals'!$C$4:$C$33,MATCH($B142,'Intervals'!$A$4:$A$33,0)))&gt;0),$E142+N(INDEX('Intervals'!$C$4:$C$33,MATCH($B142,'Intervals'!$A$4:$A$33,0))),""),""))</f>
        <v/>
      </c>
      <c r="G142" s="20">
        <f>IF(OR($B142="",$D142=""),"",IFERROR(IF(AND(INDEX('Intervals'!$G$4:$G$33,MATCH($B142,'Intervals'!$A$4:$A$33,0))&lt;&gt;"No",N(INDEX('Intervals'!$D$4:$D$33,MATCH($B142,'Intervals'!$A$4:$A$33,0)))&gt;0),EDATE($D142,N(INDEX('Intervals'!$D$4:$D$33,MATCH($B142,'Intervals'!$A$4:$A$33,0)))),""),""))</f>
        <v/>
      </c>
      <c r="H142" s="19">
        <f>IF($A142="","",IFERROR(IF(N(INDEX('Cars'!$H$4:$H$103,MATCH($A142,'Cars'!$A$4:$A$103,0)))&gt;0,INDEX('Cars'!$H$4:$H$103,MATCH($A142,'Cars'!$A$4:$A$103,0)),""),""))</f>
        <v/>
      </c>
      <c r="I142" s="19">
        <f>IF(OR($F142="",$H142=""),"",$F142-$H142)</f>
        <v/>
      </c>
      <c r="J142" s="21">
        <f>IF($G142="","",$G142-TODAY())</f>
        <v/>
      </c>
      <c r="K142" s="21">
        <f>IF($I142="","",IFERROR(IF(N(INDEX('Cars'!$J$4:$J$103,MATCH($A142,'Cars'!$A$4:$A$103,0)))&gt;0,ROUND($I142/INDEX('Cars'!$J$4:$J$103,MATCH($A142,'Cars'!$A$4:$A$103,0))*30,0),""),""))</f>
        <v/>
      </c>
      <c r="L142" s="21">
        <f>IF(AND($J142="",$K142=""),"",MIN(IF($J142="",99999,$J142),IF($K142="",99999,$K142)))</f>
        <v/>
      </c>
      <c r="M142" s="16">
        <f>IF(AND($I142="",$J142=""),"",IF(OR(AND($I142&lt;&gt;"",N($I142)&lt;0),AND($J142&lt;&gt;"",N($J142)&lt;0)),"Overdue",IF(OR(AND($I142&lt;&gt;"",N($I142)&lt;=IFERROR(INDEX('Intervals'!$E$4:$E$33,MATCH($B142,'Intervals'!$A$4:$A$33,0)),500)),AND($J142&lt;&gt;"",N($J142)&lt;=IFERROR(INDEX('Intervals'!$F$4:$F$33,MATCH($B142,'Intervals'!$A$4:$A$33,0)),14))),"Due soon","OK")))</f>
        <v/>
      </c>
      <c r="N142" s="15" t="n"/>
      <c r="O142" s="22">
        <f>IF(OR($M142="",$M142="OK"),"",$L142+ROW()/100000)</f>
        <v/>
      </c>
    </row>
    <row r="143">
      <c r="A143" s="15" t="n"/>
      <c r="B143" s="15" t="n"/>
      <c r="C143" s="16">
        <f>IF($B143="","",IFERROR(INDEX('Intervals'!$B$4:$B$33,MATCH($B143,'Intervals'!$A$4:$A$33,0)),""))</f>
        <v/>
      </c>
      <c r="D143" s="17" t="n"/>
      <c r="E143" s="18" t="n"/>
      <c r="F143" s="19">
        <f>IF(OR($B143="",$E143=""),"",IFERROR(IF(AND(INDEX('Intervals'!$G$4:$G$33,MATCH($B143,'Intervals'!$A$4:$A$33,0))&lt;&gt;"No",N(INDEX('Intervals'!$C$4:$C$33,MATCH($B143,'Intervals'!$A$4:$A$33,0)))&gt;0),$E143+N(INDEX('Intervals'!$C$4:$C$33,MATCH($B143,'Intervals'!$A$4:$A$33,0))),""),""))</f>
        <v/>
      </c>
      <c r="G143" s="20">
        <f>IF(OR($B143="",$D143=""),"",IFERROR(IF(AND(INDEX('Intervals'!$G$4:$G$33,MATCH($B143,'Intervals'!$A$4:$A$33,0))&lt;&gt;"No",N(INDEX('Intervals'!$D$4:$D$33,MATCH($B143,'Intervals'!$A$4:$A$33,0)))&gt;0),EDATE($D143,N(INDEX('Intervals'!$D$4:$D$33,MATCH($B143,'Intervals'!$A$4:$A$33,0)))),""),""))</f>
        <v/>
      </c>
      <c r="H143" s="19">
        <f>IF($A143="","",IFERROR(IF(N(INDEX('Cars'!$H$4:$H$103,MATCH($A143,'Cars'!$A$4:$A$103,0)))&gt;0,INDEX('Cars'!$H$4:$H$103,MATCH($A143,'Cars'!$A$4:$A$103,0)),""),""))</f>
        <v/>
      </c>
      <c r="I143" s="19">
        <f>IF(OR($F143="",$H143=""),"",$F143-$H143)</f>
        <v/>
      </c>
      <c r="J143" s="21">
        <f>IF($G143="","",$G143-TODAY())</f>
        <v/>
      </c>
      <c r="K143" s="21">
        <f>IF($I143="","",IFERROR(IF(N(INDEX('Cars'!$J$4:$J$103,MATCH($A143,'Cars'!$A$4:$A$103,0)))&gt;0,ROUND($I143/INDEX('Cars'!$J$4:$J$103,MATCH($A143,'Cars'!$A$4:$A$103,0))*30,0),""),""))</f>
        <v/>
      </c>
      <c r="L143" s="21">
        <f>IF(AND($J143="",$K143=""),"",MIN(IF($J143="",99999,$J143),IF($K143="",99999,$K143)))</f>
        <v/>
      </c>
      <c r="M143" s="16">
        <f>IF(AND($I143="",$J143=""),"",IF(OR(AND($I143&lt;&gt;"",N($I143)&lt;0),AND($J143&lt;&gt;"",N($J143)&lt;0)),"Overdue",IF(OR(AND($I143&lt;&gt;"",N($I143)&lt;=IFERROR(INDEX('Intervals'!$E$4:$E$33,MATCH($B143,'Intervals'!$A$4:$A$33,0)),500)),AND($J143&lt;&gt;"",N($J143)&lt;=IFERROR(INDEX('Intervals'!$F$4:$F$33,MATCH($B143,'Intervals'!$A$4:$A$33,0)),14))),"Due soon","OK")))</f>
        <v/>
      </c>
      <c r="N143" s="15" t="n"/>
      <c r="O143" s="22">
        <f>IF(OR($M143="",$M143="OK"),"",$L143+ROW()/100000)</f>
        <v/>
      </c>
    </row>
    <row r="144">
      <c r="A144" s="15" t="n"/>
      <c r="B144" s="15" t="n"/>
      <c r="C144" s="16">
        <f>IF($B144="","",IFERROR(INDEX('Intervals'!$B$4:$B$33,MATCH($B144,'Intervals'!$A$4:$A$33,0)),""))</f>
        <v/>
      </c>
      <c r="D144" s="17" t="n"/>
      <c r="E144" s="18" t="n"/>
      <c r="F144" s="19">
        <f>IF(OR($B144="",$E144=""),"",IFERROR(IF(AND(INDEX('Intervals'!$G$4:$G$33,MATCH($B144,'Intervals'!$A$4:$A$33,0))&lt;&gt;"No",N(INDEX('Intervals'!$C$4:$C$33,MATCH($B144,'Intervals'!$A$4:$A$33,0)))&gt;0),$E144+N(INDEX('Intervals'!$C$4:$C$33,MATCH($B144,'Intervals'!$A$4:$A$33,0))),""),""))</f>
        <v/>
      </c>
      <c r="G144" s="20">
        <f>IF(OR($B144="",$D144=""),"",IFERROR(IF(AND(INDEX('Intervals'!$G$4:$G$33,MATCH($B144,'Intervals'!$A$4:$A$33,0))&lt;&gt;"No",N(INDEX('Intervals'!$D$4:$D$33,MATCH($B144,'Intervals'!$A$4:$A$33,0)))&gt;0),EDATE($D144,N(INDEX('Intervals'!$D$4:$D$33,MATCH($B144,'Intervals'!$A$4:$A$33,0)))),""),""))</f>
        <v/>
      </c>
      <c r="H144" s="19">
        <f>IF($A144="","",IFERROR(IF(N(INDEX('Cars'!$H$4:$H$103,MATCH($A144,'Cars'!$A$4:$A$103,0)))&gt;0,INDEX('Cars'!$H$4:$H$103,MATCH($A144,'Cars'!$A$4:$A$103,0)),""),""))</f>
        <v/>
      </c>
      <c r="I144" s="19">
        <f>IF(OR($F144="",$H144=""),"",$F144-$H144)</f>
        <v/>
      </c>
      <c r="J144" s="21">
        <f>IF($G144="","",$G144-TODAY())</f>
        <v/>
      </c>
      <c r="K144" s="21">
        <f>IF($I144="","",IFERROR(IF(N(INDEX('Cars'!$J$4:$J$103,MATCH($A144,'Cars'!$A$4:$A$103,0)))&gt;0,ROUND($I144/INDEX('Cars'!$J$4:$J$103,MATCH($A144,'Cars'!$A$4:$A$103,0))*30,0),""),""))</f>
        <v/>
      </c>
      <c r="L144" s="21">
        <f>IF(AND($J144="",$K144=""),"",MIN(IF($J144="",99999,$J144),IF($K144="",99999,$K144)))</f>
        <v/>
      </c>
      <c r="M144" s="16">
        <f>IF(AND($I144="",$J144=""),"",IF(OR(AND($I144&lt;&gt;"",N($I144)&lt;0),AND($J144&lt;&gt;"",N($J144)&lt;0)),"Overdue",IF(OR(AND($I144&lt;&gt;"",N($I144)&lt;=IFERROR(INDEX('Intervals'!$E$4:$E$33,MATCH($B144,'Intervals'!$A$4:$A$33,0)),500)),AND($J144&lt;&gt;"",N($J144)&lt;=IFERROR(INDEX('Intervals'!$F$4:$F$33,MATCH($B144,'Intervals'!$A$4:$A$33,0)),14))),"Due soon","OK")))</f>
        <v/>
      </c>
      <c r="N144" s="15" t="n"/>
      <c r="O144" s="22">
        <f>IF(OR($M144="",$M144="OK"),"",$L144+ROW()/100000)</f>
        <v/>
      </c>
    </row>
    <row r="145">
      <c r="A145" s="15" t="n"/>
      <c r="B145" s="15" t="n"/>
      <c r="C145" s="16">
        <f>IF($B145="","",IFERROR(INDEX('Intervals'!$B$4:$B$33,MATCH($B145,'Intervals'!$A$4:$A$33,0)),""))</f>
        <v/>
      </c>
      <c r="D145" s="17" t="n"/>
      <c r="E145" s="18" t="n"/>
      <c r="F145" s="19">
        <f>IF(OR($B145="",$E145=""),"",IFERROR(IF(AND(INDEX('Intervals'!$G$4:$G$33,MATCH($B145,'Intervals'!$A$4:$A$33,0))&lt;&gt;"No",N(INDEX('Intervals'!$C$4:$C$33,MATCH($B145,'Intervals'!$A$4:$A$33,0)))&gt;0),$E145+N(INDEX('Intervals'!$C$4:$C$33,MATCH($B145,'Intervals'!$A$4:$A$33,0))),""),""))</f>
        <v/>
      </c>
      <c r="G145" s="20">
        <f>IF(OR($B145="",$D145=""),"",IFERROR(IF(AND(INDEX('Intervals'!$G$4:$G$33,MATCH($B145,'Intervals'!$A$4:$A$33,0))&lt;&gt;"No",N(INDEX('Intervals'!$D$4:$D$33,MATCH($B145,'Intervals'!$A$4:$A$33,0)))&gt;0),EDATE($D145,N(INDEX('Intervals'!$D$4:$D$33,MATCH($B145,'Intervals'!$A$4:$A$33,0)))),""),""))</f>
        <v/>
      </c>
      <c r="H145" s="19">
        <f>IF($A145="","",IFERROR(IF(N(INDEX('Cars'!$H$4:$H$103,MATCH($A145,'Cars'!$A$4:$A$103,0)))&gt;0,INDEX('Cars'!$H$4:$H$103,MATCH($A145,'Cars'!$A$4:$A$103,0)),""),""))</f>
        <v/>
      </c>
      <c r="I145" s="19">
        <f>IF(OR($F145="",$H145=""),"",$F145-$H145)</f>
        <v/>
      </c>
      <c r="J145" s="21">
        <f>IF($G145="","",$G145-TODAY())</f>
        <v/>
      </c>
      <c r="K145" s="21">
        <f>IF($I145="","",IFERROR(IF(N(INDEX('Cars'!$J$4:$J$103,MATCH($A145,'Cars'!$A$4:$A$103,0)))&gt;0,ROUND($I145/INDEX('Cars'!$J$4:$J$103,MATCH($A145,'Cars'!$A$4:$A$103,0))*30,0),""),""))</f>
        <v/>
      </c>
      <c r="L145" s="21">
        <f>IF(AND($J145="",$K145=""),"",MIN(IF($J145="",99999,$J145),IF($K145="",99999,$K145)))</f>
        <v/>
      </c>
      <c r="M145" s="16">
        <f>IF(AND($I145="",$J145=""),"",IF(OR(AND($I145&lt;&gt;"",N($I145)&lt;0),AND($J145&lt;&gt;"",N($J145)&lt;0)),"Overdue",IF(OR(AND($I145&lt;&gt;"",N($I145)&lt;=IFERROR(INDEX('Intervals'!$E$4:$E$33,MATCH($B145,'Intervals'!$A$4:$A$33,0)),500)),AND($J145&lt;&gt;"",N($J145)&lt;=IFERROR(INDEX('Intervals'!$F$4:$F$33,MATCH($B145,'Intervals'!$A$4:$A$33,0)),14))),"Due soon","OK")))</f>
        <v/>
      </c>
      <c r="N145" s="15" t="n"/>
      <c r="O145" s="22">
        <f>IF(OR($M145="",$M145="OK"),"",$L145+ROW()/100000)</f>
        <v/>
      </c>
    </row>
    <row r="146">
      <c r="A146" s="15" t="n"/>
      <c r="B146" s="15" t="n"/>
      <c r="C146" s="16">
        <f>IF($B146="","",IFERROR(INDEX('Intervals'!$B$4:$B$33,MATCH($B146,'Intervals'!$A$4:$A$33,0)),""))</f>
        <v/>
      </c>
      <c r="D146" s="17" t="n"/>
      <c r="E146" s="18" t="n"/>
      <c r="F146" s="19">
        <f>IF(OR($B146="",$E146=""),"",IFERROR(IF(AND(INDEX('Intervals'!$G$4:$G$33,MATCH($B146,'Intervals'!$A$4:$A$33,0))&lt;&gt;"No",N(INDEX('Intervals'!$C$4:$C$33,MATCH($B146,'Intervals'!$A$4:$A$33,0)))&gt;0),$E146+N(INDEX('Intervals'!$C$4:$C$33,MATCH($B146,'Intervals'!$A$4:$A$33,0))),""),""))</f>
        <v/>
      </c>
      <c r="G146" s="20">
        <f>IF(OR($B146="",$D146=""),"",IFERROR(IF(AND(INDEX('Intervals'!$G$4:$G$33,MATCH($B146,'Intervals'!$A$4:$A$33,0))&lt;&gt;"No",N(INDEX('Intervals'!$D$4:$D$33,MATCH($B146,'Intervals'!$A$4:$A$33,0)))&gt;0),EDATE($D146,N(INDEX('Intervals'!$D$4:$D$33,MATCH($B146,'Intervals'!$A$4:$A$33,0)))),""),""))</f>
        <v/>
      </c>
      <c r="H146" s="19">
        <f>IF($A146="","",IFERROR(IF(N(INDEX('Cars'!$H$4:$H$103,MATCH($A146,'Cars'!$A$4:$A$103,0)))&gt;0,INDEX('Cars'!$H$4:$H$103,MATCH($A146,'Cars'!$A$4:$A$103,0)),""),""))</f>
        <v/>
      </c>
      <c r="I146" s="19">
        <f>IF(OR($F146="",$H146=""),"",$F146-$H146)</f>
        <v/>
      </c>
      <c r="J146" s="21">
        <f>IF($G146="","",$G146-TODAY())</f>
        <v/>
      </c>
      <c r="K146" s="21">
        <f>IF($I146="","",IFERROR(IF(N(INDEX('Cars'!$J$4:$J$103,MATCH($A146,'Cars'!$A$4:$A$103,0)))&gt;0,ROUND($I146/INDEX('Cars'!$J$4:$J$103,MATCH($A146,'Cars'!$A$4:$A$103,0))*30,0),""),""))</f>
        <v/>
      </c>
      <c r="L146" s="21">
        <f>IF(AND($J146="",$K146=""),"",MIN(IF($J146="",99999,$J146),IF($K146="",99999,$K146)))</f>
        <v/>
      </c>
      <c r="M146" s="16">
        <f>IF(AND($I146="",$J146=""),"",IF(OR(AND($I146&lt;&gt;"",N($I146)&lt;0),AND($J146&lt;&gt;"",N($J146)&lt;0)),"Overdue",IF(OR(AND($I146&lt;&gt;"",N($I146)&lt;=IFERROR(INDEX('Intervals'!$E$4:$E$33,MATCH($B146,'Intervals'!$A$4:$A$33,0)),500)),AND($J146&lt;&gt;"",N($J146)&lt;=IFERROR(INDEX('Intervals'!$F$4:$F$33,MATCH($B146,'Intervals'!$A$4:$A$33,0)),14))),"Due soon","OK")))</f>
        <v/>
      </c>
      <c r="N146" s="15" t="n"/>
      <c r="O146" s="22">
        <f>IF(OR($M146="",$M146="OK"),"",$L146+ROW()/100000)</f>
        <v/>
      </c>
    </row>
    <row r="147">
      <c r="A147" s="15" t="n"/>
      <c r="B147" s="15" t="n"/>
      <c r="C147" s="16">
        <f>IF($B147="","",IFERROR(INDEX('Intervals'!$B$4:$B$33,MATCH($B147,'Intervals'!$A$4:$A$33,0)),""))</f>
        <v/>
      </c>
      <c r="D147" s="17" t="n"/>
      <c r="E147" s="18" t="n"/>
      <c r="F147" s="19">
        <f>IF(OR($B147="",$E147=""),"",IFERROR(IF(AND(INDEX('Intervals'!$G$4:$G$33,MATCH($B147,'Intervals'!$A$4:$A$33,0))&lt;&gt;"No",N(INDEX('Intervals'!$C$4:$C$33,MATCH($B147,'Intervals'!$A$4:$A$33,0)))&gt;0),$E147+N(INDEX('Intervals'!$C$4:$C$33,MATCH($B147,'Intervals'!$A$4:$A$33,0))),""),""))</f>
        <v/>
      </c>
      <c r="G147" s="20">
        <f>IF(OR($B147="",$D147=""),"",IFERROR(IF(AND(INDEX('Intervals'!$G$4:$G$33,MATCH($B147,'Intervals'!$A$4:$A$33,0))&lt;&gt;"No",N(INDEX('Intervals'!$D$4:$D$33,MATCH($B147,'Intervals'!$A$4:$A$33,0)))&gt;0),EDATE($D147,N(INDEX('Intervals'!$D$4:$D$33,MATCH($B147,'Intervals'!$A$4:$A$33,0)))),""),""))</f>
        <v/>
      </c>
      <c r="H147" s="19">
        <f>IF($A147="","",IFERROR(IF(N(INDEX('Cars'!$H$4:$H$103,MATCH($A147,'Cars'!$A$4:$A$103,0)))&gt;0,INDEX('Cars'!$H$4:$H$103,MATCH($A147,'Cars'!$A$4:$A$103,0)),""),""))</f>
        <v/>
      </c>
      <c r="I147" s="19">
        <f>IF(OR($F147="",$H147=""),"",$F147-$H147)</f>
        <v/>
      </c>
      <c r="J147" s="21">
        <f>IF($G147="","",$G147-TODAY())</f>
        <v/>
      </c>
      <c r="K147" s="21">
        <f>IF($I147="","",IFERROR(IF(N(INDEX('Cars'!$J$4:$J$103,MATCH($A147,'Cars'!$A$4:$A$103,0)))&gt;0,ROUND($I147/INDEX('Cars'!$J$4:$J$103,MATCH($A147,'Cars'!$A$4:$A$103,0))*30,0),""),""))</f>
        <v/>
      </c>
      <c r="L147" s="21">
        <f>IF(AND($J147="",$K147=""),"",MIN(IF($J147="",99999,$J147),IF($K147="",99999,$K147)))</f>
        <v/>
      </c>
      <c r="M147" s="16">
        <f>IF(AND($I147="",$J147=""),"",IF(OR(AND($I147&lt;&gt;"",N($I147)&lt;0),AND($J147&lt;&gt;"",N($J147)&lt;0)),"Overdue",IF(OR(AND($I147&lt;&gt;"",N($I147)&lt;=IFERROR(INDEX('Intervals'!$E$4:$E$33,MATCH($B147,'Intervals'!$A$4:$A$33,0)),500)),AND($J147&lt;&gt;"",N($J147)&lt;=IFERROR(INDEX('Intervals'!$F$4:$F$33,MATCH($B147,'Intervals'!$A$4:$A$33,0)),14))),"Due soon","OK")))</f>
        <v/>
      </c>
      <c r="N147" s="15" t="n"/>
      <c r="O147" s="22">
        <f>IF(OR($M147="",$M147="OK"),"",$L147+ROW()/100000)</f>
        <v/>
      </c>
    </row>
    <row r="148">
      <c r="A148" s="15" t="n"/>
      <c r="B148" s="15" t="n"/>
      <c r="C148" s="16">
        <f>IF($B148="","",IFERROR(INDEX('Intervals'!$B$4:$B$33,MATCH($B148,'Intervals'!$A$4:$A$33,0)),""))</f>
        <v/>
      </c>
      <c r="D148" s="17" t="n"/>
      <c r="E148" s="18" t="n"/>
      <c r="F148" s="19">
        <f>IF(OR($B148="",$E148=""),"",IFERROR(IF(AND(INDEX('Intervals'!$G$4:$G$33,MATCH($B148,'Intervals'!$A$4:$A$33,0))&lt;&gt;"No",N(INDEX('Intervals'!$C$4:$C$33,MATCH($B148,'Intervals'!$A$4:$A$33,0)))&gt;0),$E148+N(INDEX('Intervals'!$C$4:$C$33,MATCH($B148,'Intervals'!$A$4:$A$33,0))),""),""))</f>
        <v/>
      </c>
      <c r="G148" s="20">
        <f>IF(OR($B148="",$D148=""),"",IFERROR(IF(AND(INDEX('Intervals'!$G$4:$G$33,MATCH($B148,'Intervals'!$A$4:$A$33,0))&lt;&gt;"No",N(INDEX('Intervals'!$D$4:$D$33,MATCH($B148,'Intervals'!$A$4:$A$33,0)))&gt;0),EDATE($D148,N(INDEX('Intervals'!$D$4:$D$33,MATCH($B148,'Intervals'!$A$4:$A$33,0)))),""),""))</f>
        <v/>
      </c>
      <c r="H148" s="19">
        <f>IF($A148="","",IFERROR(IF(N(INDEX('Cars'!$H$4:$H$103,MATCH($A148,'Cars'!$A$4:$A$103,0)))&gt;0,INDEX('Cars'!$H$4:$H$103,MATCH($A148,'Cars'!$A$4:$A$103,0)),""),""))</f>
        <v/>
      </c>
      <c r="I148" s="19">
        <f>IF(OR($F148="",$H148=""),"",$F148-$H148)</f>
        <v/>
      </c>
      <c r="J148" s="21">
        <f>IF($G148="","",$G148-TODAY())</f>
        <v/>
      </c>
      <c r="K148" s="21">
        <f>IF($I148="","",IFERROR(IF(N(INDEX('Cars'!$J$4:$J$103,MATCH($A148,'Cars'!$A$4:$A$103,0)))&gt;0,ROUND($I148/INDEX('Cars'!$J$4:$J$103,MATCH($A148,'Cars'!$A$4:$A$103,0))*30,0),""),""))</f>
        <v/>
      </c>
      <c r="L148" s="21">
        <f>IF(AND($J148="",$K148=""),"",MIN(IF($J148="",99999,$J148),IF($K148="",99999,$K148)))</f>
        <v/>
      </c>
      <c r="M148" s="16">
        <f>IF(AND($I148="",$J148=""),"",IF(OR(AND($I148&lt;&gt;"",N($I148)&lt;0),AND($J148&lt;&gt;"",N($J148)&lt;0)),"Overdue",IF(OR(AND($I148&lt;&gt;"",N($I148)&lt;=IFERROR(INDEX('Intervals'!$E$4:$E$33,MATCH($B148,'Intervals'!$A$4:$A$33,0)),500)),AND($J148&lt;&gt;"",N($J148)&lt;=IFERROR(INDEX('Intervals'!$F$4:$F$33,MATCH($B148,'Intervals'!$A$4:$A$33,0)),14))),"Due soon","OK")))</f>
        <v/>
      </c>
      <c r="N148" s="15" t="n"/>
      <c r="O148" s="22">
        <f>IF(OR($M148="",$M148="OK"),"",$L148+ROW()/100000)</f>
        <v/>
      </c>
    </row>
    <row r="149">
      <c r="A149" s="15" t="n"/>
      <c r="B149" s="15" t="n"/>
      <c r="C149" s="16">
        <f>IF($B149="","",IFERROR(INDEX('Intervals'!$B$4:$B$33,MATCH($B149,'Intervals'!$A$4:$A$33,0)),""))</f>
        <v/>
      </c>
      <c r="D149" s="17" t="n"/>
      <c r="E149" s="18" t="n"/>
      <c r="F149" s="19">
        <f>IF(OR($B149="",$E149=""),"",IFERROR(IF(AND(INDEX('Intervals'!$G$4:$G$33,MATCH($B149,'Intervals'!$A$4:$A$33,0))&lt;&gt;"No",N(INDEX('Intervals'!$C$4:$C$33,MATCH($B149,'Intervals'!$A$4:$A$33,0)))&gt;0),$E149+N(INDEX('Intervals'!$C$4:$C$33,MATCH($B149,'Intervals'!$A$4:$A$33,0))),""),""))</f>
        <v/>
      </c>
      <c r="G149" s="20">
        <f>IF(OR($B149="",$D149=""),"",IFERROR(IF(AND(INDEX('Intervals'!$G$4:$G$33,MATCH($B149,'Intervals'!$A$4:$A$33,0))&lt;&gt;"No",N(INDEX('Intervals'!$D$4:$D$33,MATCH($B149,'Intervals'!$A$4:$A$33,0)))&gt;0),EDATE($D149,N(INDEX('Intervals'!$D$4:$D$33,MATCH($B149,'Intervals'!$A$4:$A$33,0)))),""),""))</f>
        <v/>
      </c>
      <c r="H149" s="19">
        <f>IF($A149="","",IFERROR(IF(N(INDEX('Cars'!$H$4:$H$103,MATCH($A149,'Cars'!$A$4:$A$103,0)))&gt;0,INDEX('Cars'!$H$4:$H$103,MATCH($A149,'Cars'!$A$4:$A$103,0)),""),""))</f>
        <v/>
      </c>
      <c r="I149" s="19">
        <f>IF(OR($F149="",$H149=""),"",$F149-$H149)</f>
        <v/>
      </c>
      <c r="J149" s="21">
        <f>IF($G149="","",$G149-TODAY())</f>
        <v/>
      </c>
      <c r="K149" s="21">
        <f>IF($I149="","",IFERROR(IF(N(INDEX('Cars'!$J$4:$J$103,MATCH($A149,'Cars'!$A$4:$A$103,0)))&gt;0,ROUND($I149/INDEX('Cars'!$J$4:$J$103,MATCH($A149,'Cars'!$A$4:$A$103,0))*30,0),""),""))</f>
        <v/>
      </c>
      <c r="L149" s="21">
        <f>IF(AND($J149="",$K149=""),"",MIN(IF($J149="",99999,$J149),IF($K149="",99999,$K149)))</f>
        <v/>
      </c>
      <c r="M149" s="16">
        <f>IF(AND($I149="",$J149=""),"",IF(OR(AND($I149&lt;&gt;"",N($I149)&lt;0),AND($J149&lt;&gt;"",N($J149)&lt;0)),"Overdue",IF(OR(AND($I149&lt;&gt;"",N($I149)&lt;=IFERROR(INDEX('Intervals'!$E$4:$E$33,MATCH($B149,'Intervals'!$A$4:$A$33,0)),500)),AND($J149&lt;&gt;"",N($J149)&lt;=IFERROR(INDEX('Intervals'!$F$4:$F$33,MATCH($B149,'Intervals'!$A$4:$A$33,0)),14))),"Due soon","OK")))</f>
        <v/>
      </c>
      <c r="N149" s="15" t="n"/>
      <c r="O149" s="22">
        <f>IF(OR($M149="",$M149="OK"),"",$L149+ROW()/100000)</f>
        <v/>
      </c>
    </row>
    <row r="150">
      <c r="A150" s="15" t="n"/>
      <c r="B150" s="15" t="n"/>
      <c r="C150" s="16">
        <f>IF($B150="","",IFERROR(INDEX('Intervals'!$B$4:$B$33,MATCH($B150,'Intervals'!$A$4:$A$33,0)),""))</f>
        <v/>
      </c>
      <c r="D150" s="17" t="n"/>
      <c r="E150" s="18" t="n"/>
      <c r="F150" s="19">
        <f>IF(OR($B150="",$E150=""),"",IFERROR(IF(AND(INDEX('Intervals'!$G$4:$G$33,MATCH($B150,'Intervals'!$A$4:$A$33,0))&lt;&gt;"No",N(INDEX('Intervals'!$C$4:$C$33,MATCH($B150,'Intervals'!$A$4:$A$33,0)))&gt;0),$E150+N(INDEX('Intervals'!$C$4:$C$33,MATCH($B150,'Intervals'!$A$4:$A$33,0))),""),""))</f>
        <v/>
      </c>
      <c r="G150" s="20">
        <f>IF(OR($B150="",$D150=""),"",IFERROR(IF(AND(INDEX('Intervals'!$G$4:$G$33,MATCH($B150,'Intervals'!$A$4:$A$33,0))&lt;&gt;"No",N(INDEX('Intervals'!$D$4:$D$33,MATCH($B150,'Intervals'!$A$4:$A$33,0)))&gt;0),EDATE($D150,N(INDEX('Intervals'!$D$4:$D$33,MATCH($B150,'Intervals'!$A$4:$A$33,0)))),""),""))</f>
        <v/>
      </c>
      <c r="H150" s="19">
        <f>IF($A150="","",IFERROR(IF(N(INDEX('Cars'!$H$4:$H$103,MATCH($A150,'Cars'!$A$4:$A$103,0)))&gt;0,INDEX('Cars'!$H$4:$H$103,MATCH($A150,'Cars'!$A$4:$A$103,0)),""),""))</f>
        <v/>
      </c>
      <c r="I150" s="19">
        <f>IF(OR($F150="",$H150=""),"",$F150-$H150)</f>
        <v/>
      </c>
      <c r="J150" s="21">
        <f>IF($G150="","",$G150-TODAY())</f>
        <v/>
      </c>
      <c r="K150" s="21">
        <f>IF($I150="","",IFERROR(IF(N(INDEX('Cars'!$J$4:$J$103,MATCH($A150,'Cars'!$A$4:$A$103,0)))&gt;0,ROUND($I150/INDEX('Cars'!$J$4:$J$103,MATCH($A150,'Cars'!$A$4:$A$103,0))*30,0),""),""))</f>
        <v/>
      </c>
      <c r="L150" s="21">
        <f>IF(AND($J150="",$K150=""),"",MIN(IF($J150="",99999,$J150),IF($K150="",99999,$K150)))</f>
        <v/>
      </c>
      <c r="M150" s="16">
        <f>IF(AND($I150="",$J150=""),"",IF(OR(AND($I150&lt;&gt;"",N($I150)&lt;0),AND($J150&lt;&gt;"",N($J150)&lt;0)),"Overdue",IF(OR(AND($I150&lt;&gt;"",N($I150)&lt;=IFERROR(INDEX('Intervals'!$E$4:$E$33,MATCH($B150,'Intervals'!$A$4:$A$33,0)),500)),AND($J150&lt;&gt;"",N($J150)&lt;=IFERROR(INDEX('Intervals'!$F$4:$F$33,MATCH($B150,'Intervals'!$A$4:$A$33,0)),14))),"Due soon","OK")))</f>
        <v/>
      </c>
      <c r="N150" s="15" t="n"/>
      <c r="O150" s="22">
        <f>IF(OR($M150="",$M150="OK"),"",$L150+ROW()/100000)</f>
        <v/>
      </c>
    </row>
    <row r="151">
      <c r="A151" s="15" t="n"/>
      <c r="B151" s="15" t="n"/>
      <c r="C151" s="16">
        <f>IF($B151="","",IFERROR(INDEX('Intervals'!$B$4:$B$33,MATCH($B151,'Intervals'!$A$4:$A$33,0)),""))</f>
        <v/>
      </c>
      <c r="D151" s="17" t="n"/>
      <c r="E151" s="18" t="n"/>
      <c r="F151" s="19">
        <f>IF(OR($B151="",$E151=""),"",IFERROR(IF(AND(INDEX('Intervals'!$G$4:$G$33,MATCH($B151,'Intervals'!$A$4:$A$33,0))&lt;&gt;"No",N(INDEX('Intervals'!$C$4:$C$33,MATCH($B151,'Intervals'!$A$4:$A$33,0)))&gt;0),$E151+N(INDEX('Intervals'!$C$4:$C$33,MATCH($B151,'Intervals'!$A$4:$A$33,0))),""),""))</f>
        <v/>
      </c>
      <c r="G151" s="20">
        <f>IF(OR($B151="",$D151=""),"",IFERROR(IF(AND(INDEX('Intervals'!$G$4:$G$33,MATCH($B151,'Intervals'!$A$4:$A$33,0))&lt;&gt;"No",N(INDEX('Intervals'!$D$4:$D$33,MATCH($B151,'Intervals'!$A$4:$A$33,0)))&gt;0),EDATE($D151,N(INDEX('Intervals'!$D$4:$D$33,MATCH($B151,'Intervals'!$A$4:$A$33,0)))),""),""))</f>
        <v/>
      </c>
      <c r="H151" s="19">
        <f>IF($A151="","",IFERROR(IF(N(INDEX('Cars'!$H$4:$H$103,MATCH($A151,'Cars'!$A$4:$A$103,0)))&gt;0,INDEX('Cars'!$H$4:$H$103,MATCH($A151,'Cars'!$A$4:$A$103,0)),""),""))</f>
        <v/>
      </c>
      <c r="I151" s="19">
        <f>IF(OR($F151="",$H151=""),"",$F151-$H151)</f>
        <v/>
      </c>
      <c r="J151" s="21">
        <f>IF($G151="","",$G151-TODAY())</f>
        <v/>
      </c>
      <c r="K151" s="21">
        <f>IF($I151="","",IFERROR(IF(N(INDEX('Cars'!$J$4:$J$103,MATCH($A151,'Cars'!$A$4:$A$103,0)))&gt;0,ROUND($I151/INDEX('Cars'!$J$4:$J$103,MATCH($A151,'Cars'!$A$4:$A$103,0))*30,0),""),""))</f>
        <v/>
      </c>
      <c r="L151" s="21">
        <f>IF(AND($J151="",$K151=""),"",MIN(IF($J151="",99999,$J151),IF($K151="",99999,$K151)))</f>
        <v/>
      </c>
      <c r="M151" s="16">
        <f>IF(AND($I151="",$J151=""),"",IF(OR(AND($I151&lt;&gt;"",N($I151)&lt;0),AND($J151&lt;&gt;"",N($J151)&lt;0)),"Overdue",IF(OR(AND($I151&lt;&gt;"",N($I151)&lt;=IFERROR(INDEX('Intervals'!$E$4:$E$33,MATCH($B151,'Intervals'!$A$4:$A$33,0)),500)),AND($J151&lt;&gt;"",N($J151)&lt;=IFERROR(INDEX('Intervals'!$F$4:$F$33,MATCH($B151,'Intervals'!$A$4:$A$33,0)),14))),"Due soon","OK")))</f>
        <v/>
      </c>
      <c r="N151" s="15" t="n"/>
      <c r="O151" s="22">
        <f>IF(OR($M151="",$M151="OK"),"",$L151+ROW()/100000)</f>
        <v/>
      </c>
    </row>
    <row r="152">
      <c r="A152" s="15" t="n"/>
      <c r="B152" s="15" t="n"/>
      <c r="C152" s="16">
        <f>IF($B152="","",IFERROR(INDEX('Intervals'!$B$4:$B$33,MATCH($B152,'Intervals'!$A$4:$A$33,0)),""))</f>
        <v/>
      </c>
      <c r="D152" s="17" t="n"/>
      <c r="E152" s="18" t="n"/>
      <c r="F152" s="19">
        <f>IF(OR($B152="",$E152=""),"",IFERROR(IF(AND(INDEX('Intervals'!$G$4:$G$33,MATCH($B152,'Intervals'!$A$4:$A$33,0))&lt;&gt;"No",N(INDEX('Intervals'!$C$4:$C$33,MATCH($B152,'Intervals'!$A$4:$A$33,0)))&gt;0),$E152+N(INDEX('Intervals'!$C$4:$C$33,MATCH($B152,'Intervals'!$A$4:$A$33,0))),""),""))</f>
        <v/>
      </c>
      <c r="G152" s="20">
        <f>IF(OR($B152="",$D152=""),"",IFERROR(IF(AND(INDEX('Intervals'!$G$4:$G$33,MATCH($B152,'Intervals'!$A$4:$A$33,0))&lt;&gt;"No",N(INDEX('Intervals'!$D$4:$D$33,MATCH($B152,'Intervals'!$A$4:$A$33,0)))&gt;0),EDATE($D152,N(INDEX('Intervals'!$D$4:$D$33,MATCH($B152,'Intervals'!$A$4:$A$33,0)))),""),""))</f>
        <v/>
      </c>
      <c r="H152" s="19">
        <f>IF($A152="","",IFERROR(IF(N(INDEX('Cars'!$H$4:$H$103,MATCH($A152,'Cars'!$A$4:$A$103,0)))&gt;0,INDEX('Cars'!$H$4:$H$103,MATCH($A152,'Cars'!$A$4:$A$103,0)),""),""))</f>
        <v/>
      </c>
      <c r="I152" s="19">
        <f>IF(OR($F152="",$H152=""),"",$F152-$H152)</f>
        <v/>
      </c>
      <c r="J152" s="21">
        <f>IF($G152="","",$G152-TODAY())</f>
        <v/>
      </c>
      <c r="K152" s="21">
        <f>IF($I152="","",IFERROR(IF(N(INDEX('Cars'!$J$4:$J$103,MATCH($A152,'Cars'!$A$4:$A$103,0)))&gt;0,ROUND($I152/INDEX('Cars'!$J$4:$J$103,MATCH($A152,'Cars'!$A$4:$A$103,0))*30,0),""),""))</f>
        <v/>
      </c>
      <c r="L152" s="21">
        <f>IF(AND($J152="",$K152=""),"",MIN(IF($J152="",99999,$J152),IF($K152="",99999,$K152)))</f>
        <v/>
      </c>
      <c r="M152" s="16">
        <f>IF(AND($I152="",$J152=""),"",IF(OR(AND($I152&lt;&gt;"",N($I152)&lt;0),AND($J152&lt;&gt;"",N($J152)&lt;0)),"Overdue",IF(OR(AND($I152&lt;&gt;"",N($I152)&lt;=IFERROR(INDEX('Intervals'!$E$4:$E$33,MATCH($B152,'Intervals'!$A$4:$A$33,0)),500)),AND($J152&lt;&gt;"",N($J152)&lt;=IFERROR(INDEX('Intervals'!$F$4:$F$33,MATCH($B152,'Intervals'!$A$4:$A$33,0)),14))),"Due soon","OK")))</f>
        <v/>
      </c>
      <c r="N152" s="15" t="n"/>
      <c r="O152" s="22">
        <f>IF(OR($M152="",$M152="OK"),"",$L152+ROW()/100000)</f>
        <v/>
      </c>
    </row>
    <row r="153">
      <c r="A153" s="15" t="n"/>
      <c r="B153" s="15" t="n"/>
      <c r="C153" s="16">
        <f>IF($B153="","",IFERROR(INDEX('Intervals'!$B$4:$B$33,MATCH($B153,'Intervals'!$A$4:$A$33,0)),""))</f>
        <v/>
      </c>
      <c r="D153" s="17" t="n"/>
      <c r="E153" s="18" t="n"/>
      <c r="F153" s="19">
        <f>IF(OR($B153="",$E153=""),"",IFERROR(IF(AND(INDEX('Intervals'!$G$4:$G$33,MATCH($B153,'Intervals'!$A$4:$A$33,0))&lt;&gt;"No",N(INDEX('Intervals'!$C$4:$C$33,MATCH($B153,'Intervals'!$A$4:$A$33,0)))&gt;0),$E153+N(INDEX('Intervals'!$C$4:$C$33,MATCH($B153,'Intervals'!$A$4:$A$33,0))),""),""))</f>
        <v/>
      </c>
      <c r="G153" s="20">
        <f>IF(OR($B153="",$D153=""),"",IFERROR(IF(AND(INDEX('Intervals'!$G$4:$G$33,MATCH($B153,'Intervals'!$A$4:$A$33,0))&lt;&gt;"No",N(INDEX('Intervals'!$D$4:$D$33,MATCH($B153,'Intervals'!$A$4:$A$33,0)))&gt;0),EDATE($D153,N(INDEX('Intervals'!$D$4:$D$33,MATCH($B153,'Intervals'!$A$4:$A$33,0)))),""),""))</f>
        <v/>
      </c>
      <c r="H153" s="19">
        <f>IF($A153="","",IFERROR(IF(N(INDEX('Cars'!$H$4:$H$103,MATCH($A153,'Cars'!$A$4:$A$103,0)))&gt;0,INDEX('Cars'!$H$4:$H$103,MATCH($A153,'Cars'!$A$4:$A$103,0)),""),""))</f>
        <v/>
      </c>
      <c r="I153" s="19">
        <f>IF(OR($F153="",$H153=""),"",$F153-$H153)</f>
        <v/>
      </c>
      <c r="J153" s="21">
        <f>IF($G153="","",$G153-TODAY())</f>
        <v/>
      </c>
      <c r="K153" s="21">
        <f>IF($I153="","",IFERROR(IF(N(INDEX('Cars'!$J$4:$J$103,MATCH($A153,'Cars'!$A$4:$A$103,0)))&gt;0,ROUND($I153/INDEX('Cars'!$J$4:$J$103,MATCH($A153,'Cars'!$A$4:$A$103,0))*30,0),""),""))</f>
        <v/>
      </c>
      <c r="L153" s="21">
        <f>IF(AND($J153="",$K153=""),"",MIN(IF($J153="",99999,$J153),IF($K153="",99999,$K153)))</f>
        <v/>
      </c>
      <c r="M153" s="16">
        <f>IF(AND($I153="",$J153=""),"",IF(OR(AND($I153&lt;&gt;"",N($I153)&lt;0),AND($J153&lt;&gt;"",N($J153)&lt;0)),"Overdue",IF(OR(AND($I153&lt;&gt;"",N($I153)&lt;=IFERROR(INDEX('Intervals'!$E$4:$E$33,MATCH($B153,'Intervals'!$A$4:$A$33,0)),500)),AND($J153&lt;&gt;"",N($J153)&lt;=IFERROR(INDEX('Intervals'!$F$4:$F$33,MATCH($B153,'Intervals'!$A$4:$A$33,0)),14))),"Due soon","OK")))</f>
        <v/>
      </c>
      <c r="N153" s="15" t="n"/>
      <c r="O153" s="22">
        <f>IF(OR($M153="",$M153="OK"),"",$L153+ROW()/100000)</f>
        <v/>
      </c>
    </row>
    <row r="154">
      <c r="A154" s="15" t="n"/>
      <c r="B154" s="15" t="n"/>
      <c r="C154" s="16">
        <f>IF($B154="","",IFERROR(INDEX('Intervals'!$B$4:$B$33,MATCH($B154,'Intervals'!$A$4:$A$33,0)),""))</f>
        <v/>
      </c>
      <c r="D154" s="17" t="n"/>
      <c r="E154" s="18" t="n"/>
      <c r="F154" s="19">
        <f>IF(OR($B154="",$E154=""),"",IFERROR(IF(AND(INDEX('Intervals'!$G$4:$G$33,MATCH($B154,'Intervals'!$A$4:$A$33,0))&lt;&gt;"No",N(INDEX('Intervals'!$C$4:$C$33,MATCH($B154,'Intervals'!$A$4:$A$33,0)))&gt;0),$E154+N(INDEX('Intervals'!$C$4:$C$33,MATCH($B154,'Intervals'!$A$4:$A$33,0))),""),""))</f>
        <v/>
      </c>
      <c r="G154" s="20">
        <f>IF(OR($B154="",$D154=""),"",IFERROR(IF(AND(INDEX('Intervals'!$G$4:$G$33,MATCH($B154,'Intervals'!$A$4:$A$33,0))&lt;&gt;"No",N(INDEX('Intervals'!$D$4:$D$33,MATCH($B154,'Intervals'!$A$4:$A$33,0)))&gt;0),EDATE($D154,N(INDEX('Intervals'!$D$4:$D$33,MATCH($B154,'Intervals'!$A$4:$A$33,0)))),""),""))</f>
        <v/>
      </c>
      <c r="H154" s="19">
        <f>IF($A154="","",IFERROR(IF(N(INDEX('Cars'!$H$4:$H$103,MATCH($A154,'Cars'!$A$4:$A$103,0)))&gt;0,INDEX('Cars'!$H$4:$H$103,MATCH($A154,'Cars'!$A$4:$A$103,0)),""),""))</f>
        <v/>
      </c>
      <c r="I154" s="19">
        <f>IF(OR($F154="",$H154=""),"",$F154-$H154)</f>
        <v/>
      </c>
      <c r="J154" s="21">
        <f>IF($G154="","",$G154-TODAY())</f>
        <v/>
      </c>
      <c r="K154" s="21">
        <f>IF($I154="","",IFERROR(IF(N(INDEX('Cars'!$J$4:$J$103,MATCH($A154,'Cars'!$A$4:$A$103,0)))&gt;0,ROUND($I154/INDEX('Cars'!$J$4:$J$103,MATCH($A154,'Cars'!$A$4:$A$103,0))*30,0),""),""))</f>
        <v/>
      </c>
      <c r="L154" s="21">
        <f>IF(AND($J154="",$K154=""),"",MIN(IF($J154="",99999,$J154),IF($K154="",99999,$K154)))</f>
        <v/>
      </c>
      <c r="M154" s="16">
        <f>IF(AND($I154="",$J154=""),"",IF(OR(AND($I154&lt;&gt;"",N($I154)&lt;0),AND($J154&lt;&gt;"",N($J154)&lt;0)),"Overdue",IF(OR(AND($I154&lt;&gt;"",N($I154)&lt;=IFERROR(INDEX('Intervals'!$E$4:$E$33,MATCH($B154,'Intervals'!$A$4:$A$33,0)),500)),AND($J154&lt;&gt;"",N($J154)&lt;=IFERROR(INDEX('Intervals'!$F$4:$F$33,MATCH($B154,'Intervals'!$A$4:$A$33,0)),14))),"Due soon","OK")))</f>
        <v/>
      </c>
      <c r="N154" s="15" t="n"/>
      <c r="O154" s="22">
        <f>IF(OR($M154="",$M154="OK"),"",$L154+ROW()/100000)</f>
        <v/>
      </c>
    </row>
    <row r="155">
      <c r="A155" s="15" t="n"/>
      <c r="B155" s="15" t="n"/>
      <c r="C155" s="16">
        <f>IF($B155="","",IFERROR(INDEX('Intervals'!$B$4:$B$33,MATCH($B155,'Intervals'!$A$4:$A$33,0)),""))</f>
        <v/>
      </c>
      <c r="D155" s="17" t="n"/>
      <c r="E155" s="18" t="n"/>
      <c r="F155" s="19">
        <f>IF(OR($B155="",$E155=""),"",IFERROR(IF(AND(INDEX('Intervals'!$G$4:$G$33,MATCH($B155,'Intervals'!$A$4:$A$33,0))&lt;&gt;"No",N(INDEX('Intervals'!$C$4:$C$33,MATCH($B155,'Intervals'!$A$4:$A$33,0)))&gt;0),$E155+N(INDEX('Intervals'!$C$4:$C$33,MATCH($B155,'Intervals'!$A$4:$A$33,0))),""),""))</f>
        <v/>
      </c>
      <c r="G155" s="20">
        <f>IF(OR($B155="",$D155=""),"",IFERROR(IF(AND(INDEX('Intervals'!$G$4:$G$33,MATCH($B155,'Intervals'!$A$4:$A$33,0))&lt;&gt;"No",N(INDEX('Intervals'!$D$4:$D$33,MATCH($B155,'Intervals'!$A$4:$A$33,0)))&gt;0),EDATE($D155,N(INDEX('Intervals'!$D$4:$D$33,MATCH($B155,'Intervals'!$A$4:$A$33,0)))),""),""))</f>
        <v/>
      </c>
      <c r="H155" s="19">
        <f>IF($A155="","",IFERROR(IF(N(INDEX('Cars'!$H$4:$H$103,MATCH($A155,'Cars'!$A$4:$A$103,0)))&gt;0,INDEX('Cars'!$H$4:$H$103,MATCH($A155,'Cars'!$A$4:$A$103,0)),""),""))</f>
        <v/>
      </c>
      <c r="I155" s="19">
        <f>IF(OR($F155="",$H155=""),"",$F155-$H155)</f>
        <v/>
      </c>
      <c r="J155" s="21">
        <f>IF($G155="","",$G155-TODAY())</f>
        <v/>
      </c>
      <c r="K155" s="21">
        <f>IF($I155="","",IFERROR(IF(N(INDEX('Cars'!$J$4:$J$103,MATCH($A155,'Cars'!$A$4:$A$103,0)))&gt;0,ROUND($I155/INDEX('Cars'!$J$4:$J$103,MATCH($A155,'Cars'!$A$4:$A$103,0))*30,0),""),""))</f>
        <v/>
      </c>
      <c r="L155" s="21">
        <f>IF(AND($J155="",$K155=""),"",MIN(IF($J155="",99999,$J155),IF($K155="",99999,$K155)))</f>
        <v/>
      </c>
      <c r="M155" s="16">
        <f>IF(AND($I155="",$J155=""),"",IF(OR(AND($I155&lt;&gt;"",N($I155)&lt;0),AND($J155&lt;&gt;"",N($J155)&lt;0)),"Overdue",IF(OR(AND($I155&lt;&gt;"",N($I155)&lt;=IFERROR(INDEX('Intervals'!$E$4:$E$33,MATCH($B155,'Intervals'!$A$4:$A$33,0)),500)),AND($J155&lt;&gt;"",N($J155)&lt;=IFERROR(INDEX('Intervals'!$F$4:$F$33,MATCH($B155,'Intervals'!$A$4:$A$33,0)),14))),"Due soon","OK")))</f>
        <v/>
      </c>
      <c r="N155" s="15" t="n"/>
      <c r="O155" s="22">
        <f>IF(OR($M155="",$M155="OK"),"",$L155+ROW()/100000)</f>
        <v/>
      </c>
    </row>
    <row r="156">
      <c r="A156" s="15" t="n"/>
      <c r="B156" s="15" t="n"/>
      <c r="C156" s="16">
        <f>IF($B156="","",IFERROR(INDEX('Intervals'!$B$4:$B$33,MATCH($B156,'Intervals'!$A$4:$A$33,0)),""))</f>
        <v/>
      </c>
      <c r="D156" s="17" t="n"/>
      <c r="E156" s="18" t="n"/>
      <c r="F156" s="19">
        <f>IF(OR($B156="",$E156=""),"",IFERROR(IF(AND(INDEX('Intervals'!$G$4:$G$33,MATCH($B156,'Intervals'!$A$4:$A$33,0))&lt;&gt;"No",N(INDEX('Intervals'!$C$4:$C$33,MATCH($B156,'Intervals'!$A$4:$A$33,0)))&gt;0),$E156+N(INDEX('Intervals'!$C$4:$C$33,MATCH($B156,'Intervals'!$A$4:$A$33,0))),""),""))</f>
        <v/>
      </c>
      <c r="G156" s="20">
        <f>IF(OR($B156="",$D156=""),"",IFERROR(IF(AND(INDEX('Intervals'!$G$4:$G$33,MATCH($B156,'Intervals'!$A$4:$A$33,0))&lt;&gt;"No",N(INDEX('Intervals'!$D$4:$D$33,MATCH($B156,'Intervals'!$A$4:$A$33,0)))&gt;0),EDATE($D156,N(INDEX('Intervals'!$D$4:$D$33,MATCH($B156,'Intervals'!$A$4:$A$33,0)))),""),""))</f>
        <v/>
      </c>
      <c r="H156" s="19">
        <f>IF($A156="","",IFERROR(IF(N(INDEX('Cars'!$H$4:$H$103,MATCH($A156,'Cars'!$A$4:$A$103,0)))&gt;0,INDEX('Cars'!$H$4:$H$103,MATCH($A156,'Cars'!$A$4:$A$103,0)),""),""))</f>
        <v/>
      </c>
      <c r="I156" s="19">
        <f>IF(OR($F156="",$H156=""),"",$F156-$H156)</f>
        <v/>
      </c>
      <c r="J156" s="21">
        <f>IF($G156="","",$G156-TODAY())</f>
        <v/>
      </c>
      <c r="K156" s="21">
        <f>IF($I156="","",IFERROR(IF(N(INDEX('Cars'!$J$4:$J$103,MATCH($A156,'Cars'!$A$4:$A$103,0)))&gt;0,ROUND($I156/INDEX('Cars'!$J$4:$J$103,MATCH($A156,'Cars'!$A$4:$A$103,0))*30,0),""),""))</f>
        <v/>
      </c>
      <c r="L156" s="21">
        <f>IF(AND($J156="",$K156=""),"",MIN(IF($J156="",99999,$J156),IF($K156="",99999,$K156)))</f>
        <v/>
      </c>
      <c r="M156" s="16">
        <f>IF(AND($I156="",$J156=""),"",IF(OR(AND($I156&lt;&gt;"",N($I156)&lt;0),AND($J156&lt;&gt;"",N($J156)&lt;0)),"Overdue",IF(OR(AND($I156&lt;&gt;"",N($I156)&lt;=IFERROR(INDEX('Intervals'!$E$4:$E$33,MATCH($B156,'Intervals'!$A$4:$A$33,0)),500)),AND($J156&lt;&gt;"",N($J156)&lt;=IFERROR(INDEX('Intervals'!$F$4:$F$33,MATCH($B156,'Intervals'!$A$4:$A$33,0)),14))),"Due soon","OK")))</f>
        <v/>
      </c>
      <c r="N156" s="15" t="n"/>
      <c r="O156" s="22">
        <f>IF(OR($M156="",$M156="OK"),"",$L156+ROW()/100000)</f>
        <v/>
      </c>
    </row>
    <row r="157">
      <c r="A157" s="15" t="n"/>
      <c r="B157" s="15" t="n"/>
      <c r="C157" s="16">
        <f>IF($B157="","",IFERROR(INDEX('Intervals'!$B$4:$B$33,MATCH($B157,'Intervals'!$A$4:$A$33,0)),""))</f>
        <v/>
      </c>
      <c r="D157" s="17" t="n"/>
      <c r="E157" s="18" t="n"/>
      <c r="F157" s="19">
        <f>IF(OR($B157="",$E157=""),"",IFERROR(IF(AND(INDEX('Intervals'!$G$4:$G$33,MATCH($B157,'Intervals'!$A$4:$A$33,0))&lt;&gt;"No",N(INDEX('Intervals'!$C$4:$C$33,MATCH($B157,'Intervals'!$A$4:$A$33,0)))&gt;0),$E157+N(INDEX('Intervals'!$C$4:$C$33,MATCH($B157,'Intervals'!$A$4:$A$33,0))),""),""))</f>
        <v/>
      </c>
      <c r="G157" s="20">
        <f>IF(OR($B157="",$D157=""),"",IFERROR(IF(AND(INDEX('Intervals'!$G$4:$G$33,MATCH($B157,'Intervals'!$A$4:$A$33,0))&lt;&gt;"No",N(INDEX('Intervals'!$D$4:$D$33,MATCH($B157,'Intervals'!$A$4:$A$33,0)))&gt;0),EDATE($D157,N(INDEX('Intervals'!$D$4:$D$33,MATCH($B157,'Intervals'!$A$4:$A$33,0)))),""),""))</f>
        <v/>
      </c>
      <c r="H157" s="19">
        <f>IF($A157="","",IFERROR(IF(N(INDEX('Cars'!$H$4:$H$103,MATCH($A157,'Cars'!$A$4:$A$103,0)))&gt;0,INDEX('Cars'!$H$4:$H$103,MATCH($A157,'Cars'!$A$4:$A$103,0)),""),""))</f>
        <v/>
      </c>
      <c r="I157" s="19">
        <f>IF(OR($F157="",$H157=""),"",$F157-$H157)</f>
        <v/>
      </c>
      <c r="J157" s="21">
        <f>IF($G157="","",$G157-TODAY())</f>
        <v/>
      </c>
      <c r="K157" s="21">
        <f>IF($I157="","",IFERROR(IF(N(INDEX('Cars'!$J$4:$J$103,MATCH($A157,'Cars'!$A$4:$A$103,0)))&gt;0,ROUND($I157/INDEX('Cars'!$J$4:$J$103,MATCH($A157,'Cars'!$A$4:$A$103,0))*30,0),""),""))</f>
        <v/>
      </c>
      <c r="L157" s="21">
        <f>IF(AND($J157="",$K157=""),"",MIN(IF($J157="",99999,$J157),IF($K157="",99999,$K157)))</f>
        <v/>
      </c>
      <c r="M157" s="16">
        <f>IF(AND($I157="",$J157=""),"",IF(OR(AND($I157&lt;&gt;"",N($I157)&lt;0),AND($J157&lt;&gt;"",N($J157)&lt;0)),"Overdue",IF(OR(AND($I157&lt;&gt;"",N($I157)&lt;=IFERROR(INDEX('Intervals'!$E$4:$E$33,MATCH($B157,'Intervals'!$A$4:$A$33,0)),500)),AND($J157&lt;&gt;"",N($J157)&lt;=IFERROR(INDEX('Intervals'!$F$4:$F$33,MATCH($B157,'Intervals'!$A$4:$A$33,0)),14))),"Due soon","OK")))</f>
        <v/>
      </c>
      <c r="N157" s="15" t="n"/>
      <c r="O157" s="22">
        <f>IF(OR($M157="",$M157="OK"),"",$L157+ROW()/100000)</f>
        <v/>
      </c>
    </row>
    <row r="158">
      <c r="A158" s="15" t="n"/>
      <c r="B158" s="15" t="n"/>
      <c r="C158" s="16">
        <f>IF($B158="","",IFERROR(INDEX('Intervals'!$B$4:$B$33,MATCH($B158,'Intervals'!$A$4:$A$33,0)),""))</f>
        <v/>
      </c>
      <c r="D158" s="17" t="n"/>
      <c r="E158" s="18" t="n"/>
      <c r="F158" s="19">
        <f>IF(OR($B158="",$E158=""),"",IFERROR(IF(AND(INDEX('Intervals'!$G$4:$G$33,MATCH($B158,'Intervals'!$A$4:$A$33,0))&lt;&gt;"No",N(INDEX('Intervals'!$C$4:$C$33,MATCH($B158,'Intervals'!$A$4:$A$33,0)))&gt;0),$E158+N(INDEX('Intervals'!$C$4:$C$33,MATCH($B158,'Intervals'!$A$4:$A$33,0))),""),""))</f>
        <v/>
      </c>
      <c r="G158" s="20">
        <f>IF(OR($B158="",$D158=""),"",IFERROR(IF(AND(INDEX('Intervals'!$G$4:$G$33,MATCH($B158,'Intervals'!$A$4:$A$33,0))&lt;&gt;"No",N(INDEX('Intervals'!$D$4:$D$33,MATCH($B158,'Intervals'!$A$4:$A$33,0)))&gt;0),EDATE($D158,N(INDEX('Intervals'!$D$4:$D$33,MATCH($B158,'Intervals'!$A$4:$A$33,0)))),""),""))</f>
        <v/>
      </c>
      <c r="H158" s="19">
        <f>IF($A158="","",IFERROR(IF(N(INDEX('Cars'!$H$4:$H$103,MATCH($A158,'Cars'!$A$4:$A$103,0)))&gt;0,INDEX('Cars'!$H$4:$H$103,MATCH($A158,'Cars'!$A$4:$A$103,0)),""),""))</f>
        <v/>
      </c>
      <c r="I158" s="19">
        <f>IF(OR($F158="",$H158=""),"",$F158-$H158)</f>
        <v/>
      </c>
      <c r="J158" s="21">
        <f>IF($G158="","",$G158-TODAY())</f>
        <v/>
      </c>
      <c r="K158" s="21">
        <f>IF($I158="","",IFERROR(IF(N(INDEX('Cars'!$J$4:$J$103,MATCH($A158,'Cars'!$A$4:$A$103,0)))&gt;0,ROUND($I158/INDEX('Cars'!$J$4:$J$103,MATCH($A158,'Cars'!$A$4:$A$103,0))*30,0),""),""))</f>
        <v/>
      </c>
      <c r="L158" s="21">
        <f>IF(AND($J158="",$K158=""),"",MIN(IF($J158="",99999,$J158),IF($K158="",99999,$K158)))</f>
        <v/>
      </c>
      <c r="M158" s="16">
        <f>IF(AND($I158="",$J158=""),"",IF(OR(AND($I158&lt;&gt;"",N($I158)&lt;0),AND($J158&lt;&gt;"",N($J158)&lt;0)),"Overdue",IF(OR(AND($I158&lt;&gt;"",N($I158)&lt;=IFERROR(INDEX('Intervals'!$E$4:$E$33,MATCH($B158,'Intervals'!$A$4:$A$33,0)),500)),AND($J158&lt;&gt;"",N($J158)&lt;=IFERROR(INDEX('Intervals'!$F$4:$F$33,MATCH($B158,'Intervals'!$A$4:$A$33,0)),14))),"Due soon","OK")))</f>
        <v/>
      </c>
      <c r="N158" s="15" t="n"/>
      <c r="O158" s="22">
        <f>IF(OR($M158="",$M158="OK"),"",$L158+ROW()/100000)</f>
        <v/>
      </c>
    </row>
    <row r="159">
      <c r="A159" s="15" t="n"/>
      <c r="B159" s="15" t="n"/>
      <c r="C159" s="16">
        <f>IF($B159="","",IFERROR(INDEX('Intervals'!$B$4:$B$33,MATCH($B159,'Intervals'!$A$4:$A$33,0)),""))</f>
        <v/>
      </c>
      <c r="D159" s="17" t="n"/>
      <c r="E159" s="18" t="n"/>
      <c r="F159" s="19">
        <f>IF(OR($B159="",$E159=""),"",IFERROR(IF(AND(INDEX('Intervals'!$G$4:$G$33,MATCH($B159,'Intervals'!$A$4:$A$33,0))&lt;&gt;"No",N(INDEX('Intervals'!$C$4:$C$33,MATCH($B159,'Intervals'!$A$4:$A$33,0)))&gt;0),$E159+N(INDEX('Intervals'!$C$4:$C$33,MATCH($B159,'Intervals'!$A$4:$A$33,0))),""),""))</f>
        <v/>
      </c>
      <c r="G159" s="20">
        <f>IF(OR($B159="",$D159=""),"",IFERROR(IF(AND(INDEX('Intervals'!$G$4:$G$33,MATCH($B159,'Intervals'!$A$4:$A$33,0))&lt;&gt;"No",N(INDEX('Intervals'!$D$4:$D$33,MATCH($B159,'Intervals'!$A$4:$A$33,0)))&gt;0),EDATE($D159,N(INDEX('Intervals'!$D$4:$D$33,MATCH($B159,'Intervals'!$A$4:$A$33,0)))),""),""))</f>
        <v/>
      </c>
      <c r="H159" s="19">
        <f>IF($A159="","",IFERROR(IF(N(INDEX('Cars'!$H$4:$H$103,MATCH($A159,'Cars'!$A$4:$A$103,0)))&gt;0,INDEX('Cars'!$H$4:$H$103,MATCH($A159,'Cars'!$A$4:$A$103,0)),""),""))</f>
        <v/>
      </c>
      <c r="I159" s="19">
        <f>IF(OR($F159="",$H159=""),"",$F159-$H159)</f>
        <v/>
      </c>
      <c r="J159" s="21">
        <f>IF($G159="","",$G159-TODAY())</f>
        <v/>
      </c>
      <c r="K159" s="21">
        <f>IF($I159="","",IFERROR(IF(N(INDEX('Cars'!$J$4:$J$103,MATCH($A159,'Cars'!$A$4:$A$103,0)))&gt;0,ROUND($I159/INDEX('Cars'!$J$4:$J$103,MATCH($A159,'Cars'!$A$4:$A$103,0))*30,0),""),""))</f>
        <v/>
      </c>
      <c r="L159" s="21">
        <f>IF(AND($J159="",$K159=""),"",MIN(IF($J159="",99999,$J159),IF($K159="",99999,$K159)))</f>
        <v/>
      </c>
      <c r="M159" s="16">
        <f>IF(AND($I159="",$J159=""),"",IF(OR(AND($I159&lt;&gt;"",N($I159)&lt;0),AND($J159&lt;&gt;"",N($J159)&lt;0)),"Overdue",IF(OR(AND($I159&lt;&gt;"",N($I159)&lt;=IFERROR(INDEX('Intervals'!$E$4:$E$33,MATCH($B159,'Intervals'!$A$4:$A$33,0)),500)),AND($J159&lt;&gt;"",N($J159)&lt;=IFERROR(INDEX('Intervals'!$F$4:$F$33,MATCH($B159,'Intervals'!$A$4:$A$33,0)),14))),"Due soon","OK")))</f>
        <v/>
      </c>
      <c r="N159" s="15" t="n"/>
      <c r="O159" s="22">
        <f>IF(OR($M159="",$M159="OK"),"",$L159+ROW()/100000)</f>
        <v/>
      </c>
    </row>
    <row r="160">
      <c r="A160" s="15" t="n"/>
      <c r="B160" s="15" t="n"/>
      <c r="C160" s="16">
        <f>IF($B160="","",IFERROR(INDEX('Intervals'!$B$4:$B$33,MATCH($B160,'Intervals'!$A$4:$A$33,0)),""))</f>
        <v/>
      </c>
      <c r="D160" s="17" t="n"/>
      <c r="E160" s="18" t="n"/>
      <c r="F160" s="19">
        <f>IF(OR($B160="",$E160=""),"",IFERROR(IF(AND(INDEX('Intervals'!$G$4:$G$33,MATCH($B160,'Intervals'!$A$4:$A$33,0))&lt;&gt;"No",N(INDEX('Intervals'!$C$4:$C$33,MATCH($B160,'Intervals'!$A$4:$A$33,0)))&gt;0),$E160+N(INDEX('Intervals'!$C$4:$C$33,MATCH($B160,'Intervals'!$A$4:$A$33,0))),""),""))</f>
        <v/>
      </c>
      <c r="G160" s="20">
        <f>IF(OR($B160="",$D160=""),"",IFERROR(IF(AND(INDEX('Intervals'!$G$4:$G$33,MATCH($B160,'Intervals'!$A$4:$A$33,0))&lt;&gt;"No",N(INDEX('Intervals'!$D$4:$D$33,MATCH($B160,'Intervals'!$A$4:$A$33,0)))&gt;0),EDATE($D160,N(INDEX('Intervals'!$D$4:$D$33,MATCH($B160,'Intervals'!$A$4:$A$33,0)))),""),""))</f>
        <v/>
      </c>
      <c r="H160" s="19">
        <f>IF($A160="","",IFERROR(IF(N(INDEX('Cars'!$H$4:$H$103,MATCH($A160,'Cars'!$A$4:$A$103,0)))&gt;0,INDEX('Cars'!$H$4:$H$103,MATCH($A160,'Cars'!$A$4:$A$103,0)),""),""))</f>
        <v/>
      </c>
      <c r="I160" s="19">
        <f>IF(OR($F160="",$H160=""),"",$F160-$H160)</f>
        <v/>
      </c>
      <c r="J160" s="21">
        <f>IF($G160="","",$G160-TODAY())</f>
        <v/>
      </c>
      <c r="K160" s="21">
        <f>IF($I160="","",IFERROR(IF(N(INDEX('Cars'!$J$4:$J$103,MATCH($A160,'Cars'!$A$4:$A$103,0)))&gt;0,ROUND($I160/INDEX('Cars'!$J$4:$J$103,MATCH($A160,'Cars'!$A$4:$A$103,0))*30,0),""),""))</f>
        <v/>
      </c>
      <c r="L160" s="21">
        <f>IF(AND($J160="",$K160=""),"",MIN(IF($J160="",99999,$J160),IF($K160="",99999,$K160)))</f>
        <v/>
      </c>
      <c r="M160" s="16">
        <f>IF(AND($I160="",$J160=""),"",IF(OR(AND($I160&lt;&gt;"",N($I160)&lt;0),AND($J160&lt;&gt;"",N($J160)&lt;0)),"Overdue",IF(OR(AND($I160&lt;&gt;"",N($I160)&lt;=IFERROR(INDEX('Intervals'!$E$4:$E$33,MATCH($B160,'Intervals'!$A$4:$A$33,0)),500)),AND($J160&lt;&gt;"",N($J160)&lt;=IFERROR(INDEX('Intervals'!$F$4:$F$33,MATCH($B160,'Intervals'!$A$4:$A$33,0)),14))),"Due soon","OK")))</f>
        <v/>
      </c>
      <c r="N160" s="15" t="n"/>
      <c r="O160" s="22">
        <f>IF(OR($M160="",$M160="OK"),"",$L160+ROW()/100000)</f>
        <v/>
      </c>
    </row>
    <row r="161">
      <c r="A161" s="15" t="n"/>
      <c r="B161" s="15" t="n"/>
      <c r="C161" s="16">
        <f>IF($B161="","",IFERROR(INDEX('Intervals'!$B$4:$B$33,MATCH($B161,'Intervals'!$A$4:$A$33,0)),""))</f>
        <v/>
      </c>
      <c r="D161" s="17" t="n"/>
      <c r="E161" s="18" t="n"/>
      <c r="F161" s="19">
        <f>IF(OR($B161="",$E161=""),"",IFERROR(IF(AND(INDEX('Intervals'!$G$4:$G$33,MATCH($B161,'Intervals'!$A$4:$A$33,0))&lt;&gt;"No",N(INDEX('Intervals'!$C$4:$C$33,MATCH($B161,'Intervals'!$A$4:$A$33,0)))&gt;0),$E161+N(INDEX('Intervals'!$C$4:$C$33,MATCH($B161,'Intervals'!$A$4:$A$33,0))),""),""))</f>
        <v/>
      </c>
      <c r="G161" s="20">
        <f>IF(OR($B161="",$D161=""),"",IFERROR(IF(AND(INDEX('Intervals'!$G$4:$G$33,MATCH($B161,'Intervals'!$A$4:$A$33,0))&lt;&gt;"No",N(INDEX('Intervals'!$D$4:$D$33,MATCH($B161,'Intervals'!$A$4:$A$33,0)))&gt;0),EDATE($D161,N(INDEX('Intervals'!$D$4:$D$33,MATCH($B161,'Intervals'!$A$4:$A$33,0)))),""),""))</f>
        <v/>
      </c>
      <c r="H161" s="19">
        <f>IF($A161="","",IFERROR(IF(N(INDEX('Cars'!$H$4:$H$103,MATCH($A161,'Cars'!$A$4:$A$103,0)))&gt;0,INDEX('Cars'!$H$4:$H$103,MATCH($A161,'Cars'!$A$4:$A$103,0)),""),""))</f>
        <v/>
      </c>
      <c r="I161" s="19">
        <f>IF(OR($F161="",$H161=""),"",$F161-$H161)</f>
        <v/>
      </c>
      <c r="J161" s="21">
        <f>IF($G161="","",$G161-TODAY())</f>
        <v/>
      </c>
      <c r="K161" s="21">
        <f>IF($I161="","",IFERROR(IF(N(INDEX('Cars'!$J$4:$J$103,MATCH($A161,'Cars'!$A$4:$A$103,0)))&gt;0,ROUND($I161/INDEX('Cars'!$J$4:$J$103,MATCH($A161,'Cars'!$A$4:$A$103,0))*30,0),""),""))</f>
        <v/>
      </c>
      <c r="L161" s="21">
        <f>IF(AND($J161="",$K161=""),"",MIN(IF($J161="",99999,$J161),IF($K161="",99999,$K161)))</f>
        <v/>
      </c>
      <c r="M161" s="16">
        <f>IF(AND($I161="",$J161=""),"",IF(OR(AND($I161&lt;&gt;"",N($I161)&lt;0),AND($J161&lt;&gt;"",N($J161)&lt;0)),"Overdue",IF(OR(AND($I161&lt;&gt;"",N($I161)&lt;=IFERROR(INDEX('Intervals'!$E$4:$E$33,MATCH($B161,'Intervals'!$A$4:$A$33,0)),500)),AND($J161&lt;&gt;"",N($J161)&lt;=IFERROR(INDEX('Intervals'!$F$4:$F$33,MATCH($B161,'Intervals'!$A$4:$A$33,0)),14))),"Due soon","OK")))</f>
        <v/>
      </c>
      <c r="N161" s="15" t="n"/>
      <c r="O161" s="22">
        <f>IF(OR($M161="",$M161="OK"),"",$L161+ROW()/100000)</f>
        <v/>
      </c>
    </row>
    <row r="162">
      <c r="A162" s="15" t="n"/>
      <c r="B162" s="15" t="n"/>
      <c r="C162" s="16">
        <f>IF($B162="","",IFERROR(INDEX('Intervals'!$B$4:$B$33,MATCH($B162,'Intervals'!$A$4:$A$33,0)),""))</f>
        <v/>
      </c>
      <c r="D162" s="17" t="n"/>
      <c r="E162" s="18" t="n"/>
      <c r="F162" s="19">
        <f>IF(OR($B162="",$E162=""),"",IFERROR(IF(AND(INDEX('Intervals'!$G$4:$G$33,MATCH($B162,'Intervals'!$A$4:$A$33,0))&lt;&gt;"No",N(INDEX('Intervals'!$C$4:$C$33,MATCH($B162,'Intervals'!$A$4:$A$33,0)))&gt;0),$E162+N(INDEX('Intervals'!$C$4:$C$33,MATCH($B162,'Intervals'!$A$4:$A$33,0))),""),""))</f>
        <v/>
      </c>
      <c r="G162" s="20">
        <f>IF(OR($B162="",$D162=""),"",IFERROR(IF(AND(INDEX('Intervals'!$G$4:$G$33,MATCH($B162,'Intervals'!$A$4:$A$33,0))&lt;&gt;"No",N(INDEX('Intervals'!$D$4:$D$33,MATCH($B162,'Intervals'!$A$4:$A$33,0)))&gt;0),EDATE($D162,N(INDEX('Intervals'!$D$4:$D$33,MATCH($B162,'Intervals'!$A$4:$A$33,0)))),""),""))</f>
        <v/>
      </c>
      <c r="H162" s="19">
        <f>IF($A162="","",IFERROR(IF(N(INDEX('Cars'!$H$4:$H$103,MATCH($A162,'Cars'!$A$4:$A$103,0)))&gt;0,INDEX('Cars'!$H$4:$H$103,MATCH($A162,'Cars'!$A$4:$A$103,0)),""),""))</f>
        <v/>
      </c>
      <c r="I162" s="19">
        <f>IF(OR($F162="",$H162=""),"",$F162-$H162)</f>
        <v/>
      </c>
      <c r="J162" s="21">
        <f>IF($G162="","",$G162-TODAY())</f>
        <v/>
      </c>
      <c r="K162" s="21">
        <f>IF($I162="","",IFERROR(IF(N(INDEX('Cars'!$J$4:$J$103,MATCH($A162,'Cars'!$A$4:$A$103,0)))&gt;0,ROUND($I162/INDEX('Cars'!$J$4:$J$103,MATCH($A162,'Cars'!$A$4:$A$103,0))*30,0),""),""))</f>
        <v/>
      </c>
      <c r="L162" s="21">
        <f>IF(AND($J162="",$K162=""),"",MIN(IF($J162="",99999,$J162),IF($K162="",99999,$K162)))</f>
        <v/>
      </c>
      <c r="M162" s="16">
        <f>IF(AND($I162="",$J162=""),"",IF(OR(AND($I162&lt;&gt;"",N($I162)&lt;0),AND($J162&lt;&gt;"",N($J162)&lt;0)),"Overdue",IF(OR(AND($I162&lt;&gt;"",N($I162)&lt;=IFERROR(INDEX('Intervals'!$E$4:$E$33,MATCH($B162,'Intervals'!$A$4:$A$33,0)),500)),AND($J162&lt;&gt;"",N($J162)&lt;=IFERROR(INDEX('Intervals'!$F$4:$F$33,MATCH($B162,'Intervals'!$A$4:$A$33,0)),14))),"Due soon","OK")))</f>
        <v/>
      </c>
      <c r="N162" s="15" t="n"/>
      <c r="O162" s="22">
        <f>IF(OR($M162="",$M162="OK"),"",$L162+ROW()/100000)</f>
        <v/>
      </c>
    </row>
    <row r="163">
      <c r="A163" s="15" t="n"/>
      <c r="B163" s="15" t="n"/>
      <c r="C163" s="16">
        <f>IF($B163="","",IFERROR(INDEX('Intervals'!$B$4:$B$33,MATCH($B163,'Intervals'!$A$4:$A$33,0)),""))</f>
        <v/>
      </c>
      <c r="D163" s="17" t="n"/>
      <c r="E163" s="18" t="n"/>
      <c r="F163" s="19">
        <f>IF(OR($B163="",$E163=""),"",IFERROR(IF(AND(INDEX('Intervals'!$G$4:$G$33,MATCH($B163,'Intervals'!$A$4:$A$33,0))&lt;&gt;"No",N(INDEX('Intervals'!$C$4:$C$33,MATCH($B163,'Intervals'!$A$4:$A$33,0)))&gt;0),$E163+N(INDEX('Intervals'!$C$4:$C$33,MATCH($B163,'Intervals'!$A$4:$A$33,0))),""),""))</f>
        <v/>
      </c>
      <c r="G163" s="20">
        <f>IF(OR($B163="",$D163=""),"",IFERROR(IF(AND(INDEX('Intervals'!$G$4:$G$33,MATCH($B163,'Intervals'!$A$4:$A$33,0))&lt;&gt;"No",N(INDEX('Intervals'!$D$4:$D$33,MATCH($B163,'Intervals'!$A$4:$A$33,0)))&gt;0),EDATE($D163,N(INDEX('Intervals'!$D$4:$D$33,MATCH($B163,'Intervals'!$A$4:$A$33,0)))),""),""))</f>
        <v/>
      </c>
      <c r="H163" s="19">
        <f>IF($A163="","",IFERROR(IF(N(INDEX('Cars'!$H$4:$H$103,MATCH($A163,'Cars'!$A$4:$A$103,0)))&gt;0,INDEX('Cars'!$H$4:$H$103,MATCH($A163,'Cars'!$A$4:$A$103,0)),""),""))</f>
        <v/>
      </c>
      <c r="I163" s="19">
        <f>IF(OR($F163="",$H163=""),"",$F163-$H163)</f>
        <v/>
      </c>
      <c r="J163" s="21">
        <f>IF($G163="","",$G163-TODAY())</f>
        <v/>
      </c>
      <c r="K163" s="21">
        <f>IF($I163="","",IFERROR(IF(N(INDEX('Cars'!$J$4:$J$103,MATCH($A163,'Cars'!$A$4:$A$103,0)))&gt;0,ROUND($I163/INDEX('Cars'!$J$4:$J$103,MATCH($A163,'Cars'!$A$4:$A$103,0))*30,0),""),""))</f>
        <v/>
      </c>
      <c r="L163" s="21">
        <f>IF(AND($J163="",$K163=""),"",MIN(IF($J163="",99999,$J163),IF($K163="",99999,$K163)))</f>
        <v/>
      </c>
      <c r="M163" s="16">
        <f>IF(AND($I163="",$J163=""),"",IF(OR(AND($I163&lt;&gt;"",N($I163)&lt;0),AND($J163&lt;&gt;"",N($J163)&lt;0)),"Overdue",IF(OR(AND($I163&lt;&gt;"",N($I163)&lt;=IFERROR(INDEX('Intervals'!$E$4:$E$33,MATCH($B163,'Intervals'!$A$4:$A$33,0)),500)),AND($J163&lt;&gt;"",N($J163)&lt;=IFERROR(INDEX('Intervals'!$F$4:$F$33,MATCH($B163,'Intervals'!$A$4:$A$33,0)),14))),"Due soon","OK")))</f>
        <v/>
      </c>
      <c r="N163" s="15" t="n"/>
      <c r="O163" s="22">
        <f>IF(OR($M163="",$M163="OK"),"",$L163+ROW()/100000)</f>
        <v/>
      </c>
    </row>
    <row r="164">
      <c r="A164" s="15" t="n"/>
      <c r="B164" s="15" t="n"/>
      <c r="C164" s="16">
        <f>IF($B164="","",IFERROR(INDEX('Intervals'!$B$4:$B$33,MATCH($B164,'Intervals'!$A$4:$A$33,0)),""))</f>
        <v/>
      </c>
      <c r="D164" s="17" t="n"/>
      <c r="E164" s="18" t="n"/>
      <c r="F164" s="19">
        <f>IF(OR($B164="",$E164=""),"",IFERROR(IF(AND(INDEX('Intervals'!$G$4:$G$33,MATCH($B164,'Intervals'!$A$4:$A$33,0))&lt;&gt;"No",N(INDEX('Intervals'!$C$4:$C$33,MATCH($B164,'Intervals'!$A$4:$A$33,0)))&gt;0),$E164+N(INDEX('Intervals'!$C$4:$C$33,MATCH($B164,'Intervals'!$A$4:$A$33,0))),""),""))</f>
        <v/>
      </c>
      <c r="G164" s="20">
        <f>IF(OR($B164="",$D164=""),"",IFERROR(IF(AND(INDEX('Intervals'!$G$4:$G$33,MATCH($B164,'Intervals'!$A$4:$A$33,0))&lt;&gt;"No",N(INDEX('Intervals'!$D$4:$D$33,MATCH($B164,'Intervals'!$A$4:$A$33,0)))&gt;0),EDATE($D164,N(INDEX('Intervals'!$D$4:$D$33,MATCH($B164,'Intervals'!$A$4:$A$33,0)))),""),""))</f>
        <v/>
      </c>
      <c r="H164" s="19">
        <f>IF($A164="","",IFERROR(IF(N(INDEX('Cars'!$H$4:$H$103,MATCH($A164,'Cars'!$A$4:$A$103,0)))&gt;0,INDEX('Cars'!$H$4:$H$103,MATCH($A164,'Cars'!$A$4:$A$103,0)),""),""))</f>
        <v/>
      </c>
      <c r="I164" s="19">
        <f>IF(OR($F164="",$H164=""),"",$F164-$H164)</f>
        <v/>
      </c>
      <c r="J164" s="21">
        <f>IF($G164="","",$G164-TODAY())</f>
        <v/>
      </c>
      <c r="K164" s="21">
        <f>IF($I164="","",IFERROR(IF(N(INDEX('Cars'!$J$4:$J$103,MATCH($A164,'Cars'!$A$4:$A$103,0)))&gt;0,ROUND($I164/INDEX('Cars'!$J$4:$J$103,MATCH($A164,'Cars'!$A$4:$A$103,0))*30,0),""),""))</f>
        <v/>
      </c>
      <c r="L164" s="21">
        <f>IF(AND($J164="",$K164=""),"",MIN(IF($J164="",99999,$J164),IF($K164="",99999,$K164)))</f>
        <v/>
      </c>
      <c r="M164" s="16">
        <f>IF(AND($I164="",$J164=""),"",IF(OR(AND($I164&lt;&gt;"",N($I164)&lt;0),AND($J164&lt;&gt;"",N($J164)&lt;0)),"Overdue",IF(OR(AND($I164&lt;&gt;"",N($I164)&lt;=IFERROR(INDEX('Intervals'!$E$4:$E$33,MATCH($B164,'Intervals'!$A$4:$A$33,0)),500)),AND($J164&lt;&gt;"",N($J164)&lt;=IFERROR(INDEX('Intervals'!$F$4:$F$33,MATCH($B164,'Intervals'!$A$4:$A$33,0)),14))),"Due soon","OK")))</f>
        <v/>
      </c>
      <c r="N164" s="15" t="n"/>
      <c r="O164" s="22">
        <f>IF(OR($M164="",$M164="OK"),"",$L164+ROW()/100000)</f>
        <v/>
      </c>
    </row>
    <row r="165">
      <c r="A165" s="15" t="n"/>
      <c r="B165" s="15" t="n"/>
      <c r="C165" s="16">
        <f>IF($B165="","",IFERROR(INDEX('Intervals'!$B$4:$B$33,MATCH($B165,'Intervals'!$A$4:$A$33,0)),""))</f>
        <v/>
      </c>
      <c r="D165" s="17" t="n"/>
      <c r="E165" s="18" t="n"/>
      <c r="F165" s="19">
        <f>IF(OR($B165="",$E165=""),"",IFERROR(IF(AND(INDEX('Intervals'!$G$4:$G$33,MATCH($B165,'Intervals'!$A$4:$A$33,0))&lt;&gt;"No",N(INDEX('Intervals'!$C$4:$C$33,MATCH($B165,'Intervals'!$A$4:$A$33,0)))&gt;0),$E165+N(INDEX('Intervals'!$C$4:$C$33,MATCH($B165,'Intervals'!$A$4:$A$33,0))),""),""))</f>
        <v/>
      </c>
      <c r="G165" s="20">
        <f>IF(OR($B165="",$D165=""),"",IFERROR(IF(AND(INDEX('Intervals'!$G$4:$G$33,MATCH($B165,'Intervals'!$A$4:$A$33,0))&lt;&gt;"No",N(INDEX('Intervals'!$D$4:$D$33,MATCH($B165,'Intervals'!$A$4:$A$33,0)))&gt;0),EDATE($D165,N(INDEX('Intervals'!$D$4:$D$33,MATCH($B165,'Intervals'!$A$4:$A$33,0)))),""),""))</f>
        <v/>
      </c>
      <c r="H165" s="19">
        <f>IF($A165="","",IFERROR(IF(N(INDEX('Cars'!$H$4:$H$103,MATCH($A165,'Cars'!$A$4:$A$103,0)))&gt;0,INDEX('Cars'!$H$4:$H$103,MATCH($A165,'Cars'!$A$4:$A$103,0)),""),""))</f>
        <v/>
      </c>
      <c r="I165" s="19">
        <f>IF(OR($F165="",$H165=""),"",$F165-$H165)</f>
        <v/>
      </c>
      <c r="J165" s="21">
        <f>IF($G165="","",$G165-TODAY())</f>
        <v/>
      </c>
      <c r="K165" s="21">
        <f>IF($I165="","",IFERROR(IF(N(INDEX('Cars'!$J$4:$J$103,MATCH($A165,'Cars'!$A$4:$A$103,0)))&gt;0,ROUND($I165/INDEX('Cars'!$J$4:$J$103,MATCH($A165,'Cars'!$A$4:$A$103,0))*30,0),""),""))</f>
        <v/>
      </c>
      <c r="L165" s="21">
        <f>IF(AND($J165="",$K165=""),"",MIN(IF($J165="",99999,$J165),IF($K165="",99999,$K165)))</f>
        <v/>
      </c>
      <c r="M165" s="16">
        <f>IF(AND($I165="",$J165=""),"",IF(OR(AND($I165&lt;&gt;"",N($I165)&lt;0),AND($J165&lt;&gt;"",N($J165)&lt;0)),"Overdue",IF(OR(AND($I165&lt;&gt;"",N($I165)&lt;=IFERROR(INDEX('Intervals'!$E$4:$E$33,MATCH($B165,'Intervals'!$A$4:$A$33,0)),500)),AND($J165&lt;&gt;"",N($J165)&lt;=IFERROR(INDEX('Intervals'!$F$4:$F$33,MATCH($B165,'Intervals'!$A$4:$A$33,0)),14))),"Due soon","OK")))</f>
        <v/>
      </c>
      <c r="N165" s="15" t="n"/>
      <c r="O165" s="22">
        <f>IF(OR($M165="",$M165="OK"),"",$L165+ROW()/100000)</f>
        <v/>
      </c>
    </row>
    <row r="166">
      <c r="A166" s="15" t="n"/>
      <c r="B166" s="15" t="n"/>
      <c r="C166" s="16">
        <f>IF($B166="","",IFERROR(INDEX('Intervals'!$B$4:$B$33,MATCH($B166,'Intervals'!$A$4:$A$33,0)),""))</f>
        <v/>
      </c>
      <c r="D166" s="17" t="n"/>
      <c r="E166" s="18" t="n"/>
      <c r="F166" s="19">
        <f>IF(OR($B166="",$E166=""),"",IFERROR(IF(AND(INDEX('Intervals'!$G$4:$G$33,MATCH($B166,'Intervals'!$A$4:$A$33,0))&lt;&gt;"No",N(INDEX('Intervals'!$C$4:$C$33,MATCH($B166,'Intervals'!$A$4:$A$33,0)))&gt;0),$E166+N(INDEX('Intervals'!$C$4:$C$33,MATCH($B166,'Intervals'!$A$4:$A$33,0))),""),""))</f>
        <v/>
      </c>
      <c r="G166" s="20">
        <f>IF(OR($B166="",$D166=""),"",IFERROR(IF(AND(INDEX('Intervals'!$G$4:$G$33,MATCH($B166,'Intervals'!$A$4:$A$33,0))&lt;&gt;"No",N(INDEX('Intervals'!$D$4:$D$33,MATCH($B166,'Intervals'!$A$4:$A$33,0)))&gt;0),EDATE($D166,N(INDEX('Intervals'!$D$4:$D$33,MATCH($B166,'Intervals'!$A$4:$A$33,0)))),""),""))</f>
        <v/>
      </c>
      <c r="H166" s="19">
        <f>IF($A166="","",IFERROR(IF(N(INDEX('Cars'!$H$4:$H$103,MATCH($A166,'Cars'!$A$4:$A$103,0)))&gt;0,INDEX('Cars'!$H$4:$H$103,MATCH($A166,'Cars'!$A$4:$A$103,0)),""),""))</f>
        <v/>
      </c>
      <c r="I166" s="19">
        <f>IF(OR($F166="",$H166=""),"",$F166-$H166)</f>
        <v/>
      </c>
      <c r="J166" s="21">
        <f>IF($G166="","",$G166-TODAY())</f>
        <v/>
      </c>
      <c r="K166" s="21">
        <f>IF($I166="","",IFERROR(IF(N(INDEX('Cars'!$J$4:$J$103,MATCH($A166,'Cars'!$A$4:$A$103,0)))&gt;0,ROUND($I166/INDEX('Cars'!$J$4:$J$103,MATCH($A166,'Cars'!$A$4:$A$103,0))*30,0),""),""))</f>
        <v/>
      </c>
      <c r="L166" s="21">
        <f>IF(AND($J166="",$K166=""),"",MIN(IF($J166="",99999,$J166),IF($K166="",99999,$K166)))</f>
        <v/>
      </c>
      <c r="M166" s="16">
        <f>IF(AND($I166="",$J166=""),"",IF(OR(AND($I166&lt;&gt;"",N($I166)&lt;0),AND($J166&lt;&gt;"",N($J166)&lt;0)),"Overdue",IF(OR(AND($I166&lt;&gt;"",N($I166)&lt;=IFERROR(INDEX('Intervals'!$E$4:$E$33,MATCH($B166,'Intervals'!$A$4:$A$33,0)),500)),AND($J166&lt;&gt;"",N($J166)&lt;=IFERROR(INDEX('Intervals'!$F$4:$F$33,MATCH($B166,'Intervals'!$A$4:$A$33,0)),14))),"Due soon","OK")))</f>
        <v/>
      </c>
      <c r="N166" s="15" t="n"/>
      <c r="O166" s="22">
        <f>IF(OR($M166="",$M166="OK"),"",$L166+ROW()/100000)</f>
        <v/>
      </c>
    </row>
    <row r="167">
      <c r="A167" s="15" t="n"/>
      <c r="B167" s="15" t="n"/>
      <c r="C167" s="16">
        <f>IF($B167="","",IFERROR(INDEX('Intervals'!$B$4:$B$33,MATCH($B167,'Intervals'!$A$4:$A$33,0)),""))</f>
        <v/>
      </c>
      <c r="D167" s="17" t="n"/>
      <c r="E167" s="18" t="n"/>
      <c r="F167" s="19">
        <f>IF(OR($B167="",$E167=""),"",IFERROR(IF(AND(INDEX('Intervals'!$G$4:$G$33,MATCH($B167,'Intervals'!$A$4:$A$33,0))&lt;&gt;"No",N(INDEX('Intervals'!$C$4:$C$33,MATCH($B167,'Intervals'!$A$4:$A$33,0)))&gt;0),$E167+N(INDEX('Intervals'!$C$4:$C$33,MATCH($B167,'Intervals'!$A$4:$A$33,0))),""),""))</f>
        <v/>
      </c>
      <c r="G167" s="20">
        <f>IF(OR($B167="",$D167=""),"",IFERROR(IF(AND(INDEX('Intervals'!$G$4:$G$33,MATCH($B167,'Intervals'!$A$4:$A$33,0))&lt;&gt;"No",N(INDEX('Intervals'!$D$4:$D$33,MATCH($B167,'Intervals'!$A$4:$A$33,0)))&gt;0),EDATE($D167,N(INDEX('Intervals'!$D$4:$D$33,MATCH($B167,'Intervals'!$A$4:$A$33,0)))),""),""))</f>
        <v/>
      </c>
      <c r="H167" s="19">
        <f>IF($A167="","",IFERROR(IF(N(INDEX('Cars'!$H$4:$H$103,MATCH($A167,'Cars'!$A$4:$A$103,0)))&gt;0,INDEX('Cars'!$H$4:$H$103,MATCH($A167,'Cars'!$A$4:$A$103,0)),""),""))</f>
        <v/>
      </c>
      <c r="I167" s="19">
        <f>IF(OR($F167="",$H167=""),"",$F167-$H167)</f>
        <v/>
      </c>
      <c r="J167" s="21">
        <f>IF($G167="","",$G167-TODAY())</f>
        <v/>
      </c>
      <c r="K167" s="21">
        <f>IF($I167="","",IFERROR(IF(N(INDEX('Cars'!$J$4:$J$103,MATCH($A167,'Cars'!$A$4:$A$103,0)))&gt;0,ROUND($I167/INDEX('Cars'!$J$4:$J$103,MATCH($A167,'Cars'!$A$4:$A$103,0))*30,0),""),""))</f>
        <v/>
      </c>
      <c r="L167" s="21">
        <f>IF(AND($J167="",$K167=""),"",MIN(IF($J167="",99999,$J167),IF($K167="",99999,$K167)))</f>
        <v/>
      </c>
      <c r="M167" s="16">
        <f>IF(AND($I167="",$J167=""),"",IF(OR(AND($I167&lt;&gt;"",N($I167)&lt;0),AND($J167&lt;&gt;"",N($J167)&lt;0)),"Overdue",IF(OR(AND($I167&lt;&gt;"",N($I167)&lt;=IFERROR(INDEX('Intervals'!$E$4:$E$33,MATCH($B167,'Intervals'!$A$4:$A$33,0)),500)),AND($J167&lt;&gt;"",N($J167)&lt;=IFERROR(INDEX('Intervals'!$F$4:$F$33,MATCH($B167,'Intervals'!$A$4:$A$33,0)),14))),"Due soon","OK")))</f>
        <v/>
      </c>
      <c r="N167" s="15" t="n"/>
      <c r="O167" s="22">
        <f>IF(OR($M167="",$M167="OK"),"",$L167+ROW()/100000)</f>
        <v/>
      </c>
    </row>
    <row r="168">
      <c r="A168" s="15" t="n"/>
      <c r="B168" s="15" t="n"/>
      <c r="C168" s="16">
        <f>IF($B168="","",IFERROR(INDEX('Intervals'!$B$4:$B$33,MATCH($B168,'Intervals'!$A$4:$A$33,0)),""))</f>
        <v/>
      </c>
      <c r="D168" s="17" t="n"/>
      <c r="E168" s="18" t="n"/>
      <c r="F168" s="19">
        <f>IF(OR($B168="",$E168=""),"",IFERROR(IF(AND(INDEX('Intervals'!$G$4:$G$33,MATCH($B168,'Intervals'!$A$4:$A$33,0))&lt;&gt;"No",N(INDEX('Intervals'!$C$4:$C$33,MATCH($B168,'Intervals'!$A$4:$A$33,0)))&gt;0),$E168+N(INDEX('Intervals'!$C$4:$C$33,MATCH($B168,'Intervals'!$A$4:$A$33,0))),""),""))</f>
        <v/>
      </c>
      <c r="G168" s="20">
        <f>IF(OR($B168="",$D168=""),"",IFERROR(IF(AND(INDEX('Intervals'!$G$4:$G$33,MATCH($B168,'Intervals'!$A$4:$A$33,0))&lt;&gt;"No",N(INDEX('Intervals'!$D$4:$D$33,MATCH($B168,'Intervals'!$A$4:$A$33,0)))&gt;0),EDATE($D168,N(INDEX('Intervals'!$D$4:$D$33,MATCH($B168,'Intervals'!$A$4:$A$33,0)))),""),""))</f>
        <v/>
      </c>
      <c r="H168" s="19">
        <f>IF($A168="","",IFERROR(IF(N(INDEX('Cars'!$H$4:$H$103,MATCH($A168,'Cars'!$A$4:$A$103,0)))&gt;0,INDEX('Cars'!$H$4:$H$103,MATCH($A168,'Cars'!$A$4:$A$103,0)),""),""))</f>
        <v/>
      </c>
      <c r="I168" s="19">
        <f>IF(OR($F168="",$H168=""),"",$F168-$H168)</f>
        <v/>
      </c>
      <c r="J168" s="21">
        <f>IF($G168="","",$G168-TODAY())</f>
        <v/>
      </c>
      <c r="K168" s="21">
        <f>IF($I168="","",IFERROR(IF(N(INDEX('Cars'!$J$4:$J$103,MATCH($A168,'Cars'!$A$4:$A$103,0)))&gt;0,ROUND($I168/INDEX('Cars'!$J$4:$J$103,MATCH($A168,'Cars'!$A$4:$A$103,0))*30,0),""),""))</f>
        <v/>
      </c>
      <c r="L168" s="21">
        <f>IF(AND($J168="",$K168=""),"",MIN(IF($J168="",99999,$J168),IF($K168="",99999,$K168)))</f>
        <v/>
      </c>
      <c r="M168" s="16">
        <f>IF(AND($I168="",$J168=""),"",IF(OR(AND($I168&lt;&gt;"",N($I168)&lt;0),AND($J168&lt;&gt;"",N($J168)&lt;0)),"Overdue",IF(OR(AND($I168&lt;&gt;"",N($I168)&lt;=IFERROR(INDEX('Intervals'!$E$4:$E$33,MATCH($B168,'Intervals'!$A$4:$A$33,0)),500)),AND($J168&lt;&gt;"",N($J168)&lt;=IFERROR(INDEX('Intervals'!$F$4:$F$33,MATCH($B168,'Intervals'!$A$4:$A$33,0)),14))),"Due soon","OK")))</f>
        <v/>
      </c>
      <c r="N168" s="15" t="n"/>
      <c r="O168" s="22">
        <f>IF(OR($M168="",$M168="OK"),"",$L168+ROW()/100000)</f>
        <v/>
      </c>
    </row>
    <row r="169">
      <c r="A169" s="15" t="n"/>
      <c r="B169" s="15" t="n"/>
      <c r="C169" s="16">
        <f>IF($B169="","",IFERROR(INDEX('Intervals'!$B$4:$B$33,MATCH($B169,'Intervals'!$A$4:$A$33,0)),""))</f>
        <v/>
      </c>
      <c r="D169" s="17" t="n"/>
      <c r="E169" s="18" t="n"/>
      <c r="F169" s="19">
        <f>IF(OR($B169="",$E169=""),"",IFERROR(IF(AND(INDEX('Intervals'!$G$4:$G$33,MATCH($B169,'Intervals'!$A$4:$A$33,0))&lt;&gt;"No",N(INDEX('Intervals'!$C$4:$C$33,MATCH($B169,'Intervals'!$A$4:$A$33,0)))&gt;0),$E169+N(INDEX('Intervals'!$C$4:$C$33,MATCH($B169,'Intervals'!$A$4:$A$33,0))),""),""))</f>
        <v/>
      </c>
      <c r="G169" s="20">
        <f>IF(OR($B169="",$D169=""),"",IFERROR(IF(AND(INDEX('Intervals'!$G$4:$G$33,MATCH($B169,'Intervals'!$A$4:$A$33,0))&lt;&gt;"No",N(INDEX('Intervals'!$D$4:$D$33,MATCH($B169,'Intervals'!$A$4:$A$33,0)))&gt;0),EDATE($D169,N(INDEX('Intervals'!$D$4:$D$33,MATCH($B169,'Intervals'!$A$4:$A$33,0)))),""),""))</f>
        <v/>
      </c>
      <c r="H169" s="19">
        <f>IF($A169="","",IFERROR(IF(N(INDEX('Cars'!$H$4:$H$103,MATCH($A169,'Cars'!$A$4:$A$103,0)))&gt;0,INDEX('Cars'!$H$4:$H$103,MATCH($A169,'Cars'!$A$4:$A$103,0)),""),""))</f>
        <v/>
      </c>
      <c r="I169" s="19">
        <f>IF(OR($F169="",$H169=""),"",$F169-$H169)</f>
        <v/>
      </c>
      <c r="J169" s="21">
        <f>IF($G169="","",$G169-TODAY())</f>
        <v/>
      </c>
      <c r="K169" s="21">
        <f>IF($I169="","",IFERROR(IF(N(INDEX('Cars'!$J$4:$J$103,MATCH($A169,'Cars'!$A$4:$A$103,0)))&gt;0,ROUND($I169/INDEX('Cars'!$J$4:$J$103,MATCH($A169,'Cars'!$A$4:$A$103,0))*30,0),""),""))</f>
        <v/>
      </c>
      <c r="L169" s="21">
        <f>IF(AND($J169="",$K169=""),"",MIN(IF($J169="",99999,$J169),IF($K169="",99999,$K169)))</f>
        <v/>
      </c>
      <c r="M169" s="16">
        <f>IF(AND($I169="",$J169=""),"",IF(OR(AND($I169&lt;&gt;"",N($I169)&lt;0),AND($J169&lt;&gt;"",N($J169)&lt;0)),"Overdue",IF(OR(AND($I169&lt;&gt;"",N($I169)&lt;=IFERROR(INDEX('Intervals'!$E$4:$E$33,MATCH($B169,'Intervals'!$A$4:$A$33,0)),500)),AND($J169&lt;&gt;"",N($J169)&lt;=IFERROR(INDEX('Intervals'!$F$4:$F$33,MATCH($B169,'Intervals'!$A$4:$A$33,0)),14))),"Due soon","OK")))</f>
        <v/>
      </c>
      <c r="N169" s="15" t="n"/>
      <c r="O169" s="22">
        <f>IF(OR($M169="",$M169="OK"),"",$L169+ROW()/100000)</f>
        <v/>
      </c>
    </row>
    <row r="170">
      <c r="A170" s="15" t="n"/>
      <c r="B170" s="15" t="n"/>
      <c r="C170" s="16">
        <f>IF($B170="","",IFERROR(INDEX('Intervals'!$B$4:$B$33,MATCH($B170,'Intervals'!$A$4:$A$33,0)),""))</f>
        <v/>
      </c>
      <c r="D170" s="17" t="n"/>
      <c r="E170" s="18" t="n"/>
      <c r="F170" s="19">
        <f>IF(OR($B170="",$E170=""),"",IFERROR(IF(AND(INDEX('Intervals'!$G$4:$G$33,MATCH($B170,'Intervals'!$A$4:$A$33,0))&lt;&gt;"No",N(INDEX('Intervals'!$C$4:$C$33,MATCH($B170,'Intervals'!$A$4:$A$33,0)))&gt;0),$E170+N(INDEX('Intervals'!$C$4:$C$33,MATCH($B170,'Intervals'!$A$4:$A$33,0))),""),""))</f>
        <v/>
      </c>
      <c r="G170" s="20">
        <f>IF(OR($B170="",$D170=""),"",IFERROR(IF(AND(INDEX('Intervals'!$G$4:$G$33,MATCH($B170,'Intervals'!$A$4:$A$33,0))&lt;&gt;"No",N(INDEX('Intervals'!$D$4:$D$33,MATCH($B170,'Intervals'!$A$4:$A$33,0)))&gt;0),EDATE($D170,N(INDEX('Intervals'!$D$4:$D$33,MATCH($B170,'Intervals'!$A$4:$A$33,0)))),""),""))</f>
        <v/>
      </c>
      <c r="H170" s="19">
        <f>IF($A170="","",IFERROR(IF(N(INDEX('Cars'!$H$4:$H$103,MATCH($A170,'Cars'!$A$4:$A$103,0)))&gt;0,INDEX('Cars'!$H$4:$H$103,MATCH($A170,'Cars'!$A$4:$A$103,0)),""),""))</f>
        <v/>
      </c>
      <c r="I170" s="19">
        <f>IF(OR($F170="",$H170=""),"",$F170-$H170)</f>
        <v/>
      </c>
      <c r="J170" s="21">
        <f>IF($G170="","",$G170-TODAY())</f>
        <v/>
      </c>
      <c r="K170" s="21">
        <f>IF($I170="","",IFERROR(IF(N(INDEX('Cars'!$J$4:$J$103,MATCH($A170,'Cars'!$A$4:$A$103,0)))&gt;0,ROUND($I170/INDEX('Cars'!$J$4:$J$103,MATCH($A170,'Cars'!$A$4:$A$103,0))*30,0),""),""))</f>
        <v/>
      </c>
      <c r="L170" s="21">
        <f>IF(AND($J170="",$K170=""),"",MIN(IF($J170="",99999,$J170),IF($K170="",99999,$K170)))</f>
        <v/>
      </c>
      <c r="M170" s="16">
        <f>IF(AND($I170="",$J170=""),"",IF(OR(AND($I170&lt;&gt;"",N($I170)&lt;0),AND($J170&lt;&gt;"",N($J170)&lt;0)),"Overdue",IF(OR(AND($I170&lt;&gt;"",N($I170)&lt;=IFERROR(INDEX('Intervals'!$E$4:$E$33,MATCH($B170,'Intervals'!$A$4:$A$33,0)),500)),AND($J170&lt;&gt;"",N($J170)&lt;=IFERROR(INDEX('Intervals'!$F$4:$F$33,MATCH($B170,'Intervals'!$A$4:$A$33,0)),14))),"Due soon","OK")))</f>
        <v/>
      </c>
      <c r="N170" s="15" t="n"/>
      <c r="O170" s="22">
        <f>IF(OR($M170="",$M170="OK"),"",$L170+ROW()/100000)</f>
        <v/>
      </c>
    </row>
    <row r="171">
      <c r="A171" s="15" t="n"/>
      <c r="B171" s="15" t="n"/>
      <c r="C171" s="16">
        <f>IF($B171="","",IFERROR(INDEX('Intervals'!$B$4:$B$33,MATCH($B171,'Intervals'!$A$4:$A$33,0)),""))</f>
        <v/>
      </c>
      <c r="D171" s="17" t="n"/>
      <c r="E171" s="18" t="n"/>
      <c r="F171" s="19">
        <f>IF(OR($B171="",$E171=""),"",IFERROR(IF(AND(INDEX('Intervals'!$G$4:$G$33,MATCH($B171,'Intervals'!$A$4:$A$33,0))&lt;&gt;"No",N(INDEX('Intervals'!$C$4:$C$33,MATCH($B171,'Intervals'!$A$4:$A$33,0)))&gt;0),$E171+N(INDEX('Intervals'!$C$4:$C$33,MATCH($B171,'Intervals'!$A$4:$A$33,0))),""),""))</f>
        <v/>
      </c>
      <c r="G171" s="20">
        <f>IF(OR($B171="",$D171=""),"",IFERROR(IF(AND(INDEX('Intervals'!$G$4:$G$33,MATCH($B171,'Intervals'!$A$4:$A$33,0))&lt;&gt;"No",N(INDEX('Intervals'!$D$4:$D$33,MATCH($B171,'Intervals'!$A$4:$A$33,0)))&gt;0),EDATE($D171,N(INDEX('Intervals'!$D$4:$D$33,MATCH($B171,'Intervals'!$A$4:$A$33,0)))),""),""))</f>
        <v/>
      </c>
      <c r="H171" s="19">
        <f>IF($A171="","",IFERROR(IF(N(INDEX('Cars'!$H$4:$H$103,MATCH($A171,'Cars'!$A$4:$A$103,0)))&gt;0,INDEX('Cars'!$H$4:$H$103,MATCH($A171,'Cars'!$A$4:$A$103,0)),""),""))</f>
        <v/>
      </c>
      <c r="I171" s="19">
        <f>IF(OR($F171="",$H171=""),"",$F171-$H171)</f>
        <v/>
      </c>
      <c r="J171" s="21">
        <f>IF($G171="","",$G171-TODAY())</f>
        <v/>
      </c>
      <c r="K171" s="21">
        <f>IF($I171="","",IFERROR(IF(N(INDEX('Cars'!$J$4:$J$103,MATCH($A171,'Cars'!$A$4:$A$103,0)))&gt;0,ROUND($I171/INDEX('Cars'!$J$4:$J$103,MATCH($A171,'Cars'!$A$4:$A$103,0))*30,0),""),""))</f>
        <v/>
      </c>
      <c r="L171" s="21">
        <f>IF(AND($J171="",$K171=""),"",MIN(IF($J171="",99999,$J171),IF($K171="",99999,$K171)))</f>
        <v/>
      </c>
      <c r="M171" s="16">
        <f>IF(AND($I171="",$J171=""),"",IF(OR(AND($I171&lt;&gt;"",N($I171)&lt;0),AND($J171&lt;&gt;"",N($J171)&lt;0)),"Overdue",IF(OR(AND($I171&lt;&gt;"",N($I171)&lt;=IFERROR(INDEX('Intervals'!$E$4:$E$33,MATCH($B171,'Intervals'!$A$4:$A$33,0)),500)),AND($J171&lt;&gt;"",N($J171)&lt;=IFERROR(INDEX('Intervals'!$F$4:$F$33,MATCH($B171,'Intervals'!$A$4:$A$33,0)),14))),"Due soon","OK")))</f>
        <v/>
      </c>
      <c r="N171" s="15" t="n"/>
      <c r="O171" s="22">
        <f>IF(OR($M171="",$M171="OK"),"",$L171+ROW()/100000)</f>
        <v/>
      </c>
    </row>
    <row r="172">
      <c r="A172" s="15" t="n"/>
      <c r="B172" s="15" t="n"/>
      <c r="C172" s="16">
        <f>IF($B172="","",IFERROR(INDEX('Intervals'!$B$4:$B$33,MATCH($B172,'Intervals'!$A$4:$A$33,0)),""))</f>
        <v/>
      </c>
      <c r="D172" s="17" t="n"/>
      <c r="E172" s="18" t="n"/>
      <c r="F172" s="19">
        <f>IF(OR($B172="",$E172=""),"",IFERROR(IF(AND(INDEX('Intervals'!$G$4:$G$33,MATCH($B172,'Intervals'!$A$4:$A$33,0))&lt;&gt;"No",N(INDEX('Intervals'!$C$4:$C$33,MATCH($B172,'Intervals'!$A$4:$A$33,0)))&gt;0),$E172+N(INDEX('Intervals'!$C$4:$C$33,MATCH($B172,'Intervals'!$A$4:$A$33,0))),""),""))</f>
        <v/>
      </c>
      <c r="G172" s="20">
        <f>IF(OR($B172="",$D172=""),"",IFERROR(IF(AND(INDEX('Intervals'!$G$4:$G$33,MATCH($B172,'Intervals'!$A$4:$A$33,0))&lt;&gt;"No",N(INDEX('Intervals'!$D$4:$D$33,MATCH($B172,'Intervals'!$A$4:$A$33,0)))&gt;0),EDATE($D172,N(INDEX('Intervals'!$D$4:$D$33,MATCH($B172,'Intervals'!$A$4:$A$33,0)))),""),""))</f>
        <v/>
      </c>
      <c r="H172" s="19">
        <f>IF($A172="","",IFERROR(IF(N(INDEX('Cars'!$H$4:$H$103,MATCH($A172,'Cars'!$A$4:$A$103,0)))&gt;0,INDEX('Cars'!$H$4:$H$103,MATCH($A172,'Cars'!$A$4:$A$103,0)),""),""))</f>
        <v/>
      </c>
      <c r="I172" s="19">
        <f>IF(OR($F172="",$H172=""),"",$F172-$H172)</f>
        <v/>
      </c>
      <c r="J172" s="21">
        <f>IF($G172="","",$G172-TODAY())</f>
        <v/>
      </c>
      <c r="K172" s="21">
        <f>IF($I172="","",IFERROR(IF(N(INDEX('Cars'!$J$4:$J$103,MATCH($A172,'Cars'!$A$4:$A$103,0)))&gt;0,ROUND($I172/INDEX('Cars'!$J$4:$J$103,MATCH($A172,'Cars'!$A$4:$A$103,0))*30,0),""),""))</f>
        <v/>
      </c>
      <c r="L172" s="21">
        <f>IF(AND($J172="",$K172=""),"",MIN(IF($J172="",99999,$J172),IF($K172="",99999,$K172)))</f>
        <v/>
      </c>
      <c r="M172" s="16">
        <f>IF(AND($I172="",$J172=""),"",IF(OR(AND($I172&lt;&gt;"",N($I172)&lt;0),AND($J172&lt;&gt;"",N($J172)&lt;0)),"Overdue",IF(OR(AND($I172&lt;&gt;"",N($I172)&lt;=IFERROR(INDEX('Intervals'!$E$4:$E$33,MATCH($B172,'Intervals'!$A$4:$A$33,0)),500)),AND($J172&lt;&gt;"",N($J172)&lt;=IFERROR(INDEX('Intervals'!$F$4:$F$33,MATCH($B172,'Intervals'!$A$4:$A$33,0)),14))),"Due soon","OK")))</f>
        <v/>
      </c>
      <c r="N172" s="15" t="n"/>
      <c r="O172" s="22">
        <f>IF(OR($M172="",$M172="OK"),"",$L172+ROW()/100000)</f>
        <v/>
      </c>
    </row>
    <row r="173">
      <c r="A173" s="15" t="n"/>
      <c r="B173" s="15" t="n"/>
      <c r="C173" s="16">
        <f>IF($B173="","",IFERROR(INDEX('Intervals'!$B$4:$B$33,MATCH($B173,'Intervals'!$A$4:$A$33,0)),""))</f>
        <v/>
      </c>
      <c r="D173" s="17" t="n"/>
      <c r="E173" s="18" t="n"/>
      <c r="F173" s="19">
        <f>IF(OR($B173="",$E173=""),"",IFERROR(IF(AND(INDEX('Intervals'!$G$4:$G$33,MATCH($B173,'Intervals'!$A$4:$A$33,0))&lt;&gt;"No",N(INDEX('Intervals'!$C$4:$C$33,MATCH($B173,'Intervals'!$A$4:$A$33,0)))&gt;0),$E173+N(INDEX('Intervals'!$C$4:$C$33,MATCH($B173,'Intervals'!$A$4:$A$33,0))),""),""))</f>
        <v/>
      </c>
      <c r="G173" s="20">
        <f>IF(OR($B173="",$D173=""),"",IFERROR(IF(AND(INDEX('Intervals'!$G$4:$G$33,MATCH($B173,'Intervals'!$A$4:$A$33,0))&lt;&gt;"No",N(INDEX('Intervals'!$D$4:$D$33,MATCH($B173,'Intervals'!$A$4:$A$33,0)))&gt;0),EDATE($D173,N(INDEX('Intervals'!$D$4:$D$33,MATCH($B173,'Intervals'!$A$4:$A$33,0)))),""),""))</f>
        <v/>
      </c>
      <c r="H173" s="19">
        <f>IF($A173="","",IFERROR(IF(N(INDEX('Cars'!$H$4:$H$103,MATCH($A173,'Cars'!$A$4:$A$103,0)))&gt;0,INDEX('Cars'!$H$4:$H$103,MATCH($A173,'Cars'!$A$4:$A$103,0)),""),""))</f>
        <v/>
      </c>
      <c r="I173" s="19">
        <f>IF(OR($F173="",$H173=""),"",$F173-$H173)</f>
        <v/>
      </c>
      <c r="J173" s="21">
        <f>IF($G173="","",$G173-TODAY())</f>
        <v/>
      </c>
      <c r="K173" s="21">
        <f>IF($I173="","",IFERROR(IF(N(INDEX('Cars'!$J$4:$J$103,MATCH($A173,'Cars'!$A$4:$A$103,0)))&gt;0,ROUND($I173/INDEX('Cars'!$J$4:$J$103,MATCH($A173,'Cars'!$A$4:$A$103,0))*30,0),""),""))</f>
        <v/>
      </c>
      <c r="L173" s="21">
        <f>IF(AND($J173="",$K173=""),"",MIN(IF($J173="",99999,$J173),IF($K173="",99999,$K173)))</f>
        <v/>
      </c>
      <c r="M173" s="16">
        <f>IF(AND($I173="",$J173=""),"",IF(OR(AND($I173&lt;&gt;"",N($I173)&lt;0),AND($J173&lt;&gt;"",N($J173)&lt;0)),"Overdue",IF(OR(AND($I173&lt;&gt;"",N($I173)&lt;=IFERROR(INDEX('Intervals'!$E$4:$E$33,MATCH($B173,'Intervals'!$A$4:$A$33,0)),500)),AND($J173&lt;&gt;"",N($J173)&lt;=IFERROR(INDEX('Intervals'!$F$4:$F$33,MATCH($B173,'Intervals'!$A$4:$A$33,0)),14))),"Due soon","OK")))</f>
        <v/>
      </c>
      <c r="N173" s="15" t="n"/>
      <c r="O173" s="22">
        <f>IF(OR($M173="",$M173="OK"),"",$L173+ROW()/100000)</f>
        <v/>
      </c>
    </row>
    <row r="174">
      <c r="A174" s="15" t="n"/>
      <c r="B174" s="15" t="n"/>
      <c r="C174" s="16">
        <f>IF($B174="","",IFERROR(INDEX('Intervals'!$B$4:$B$33,MATCH($B174,'Intervals'!$A$4:$A$33,0)),""))</f>
        <v/>
      </c>
      <c r="D174" s="17" t="n"/>
      <c r="E174" s="18" t="n"/>
      <c r="F174" s="19">
        <f>IF(OR($B174="",$E174=""),"",IFERROR(IF(AND(INDEX('Intervals'!$G$4:$G$33,MATCH($B174,'Intervals'!$A$4:$A$33,0))&lt;&gt;"No",N(INDEX('Intervals'!$C$4:$C$33,MATCH($B174,'Intervals'!$A$4:$A$33,0)))&gt;0),$E174+N(INDEX('Intervals'!$C$4:$C$33,MATCH($B174,'Intervals'!$A$4:$A$33,0))),""),""))</f>
        <v/>
      </c>
      <c r="G174" s="20">
        <f>IF(OR($B174="",$D174=""),"",IFERROR(IF(AND(INDEX('Intervals'!$G$4:$G$33,MATCH($B174,'Intervals'!$A$4:$A$33,0))&lt;&gt;"No",N(INDEX('Intervals'!$D$4:$D$33,MATCH($B174,'Intervals'!$A$4:$A$33,0)))&gt;0),EDATE($D174,N(INDEX('Intervals'!$D$4:$D$33,MATCH($B174,'Intervals'!$A$4:$A$33,0)))),""),""))</f>
        <v/>
      </c>
      <c r="H174" s="19">
        <f>IF($A174="","",IFERROR(IF(N(INDEX('Cars'!$H$4:$H$103,MATCH($A174,'Cars'!$A$4:$A$103,0)))&gt;0,INDEX('Cars'!$H$4:$H$103,MATCH($A174,'Cars'!$A$4:$A$103,0)),""),""))</f>
        <v/>
      </c>
      <c r="I174" s="19">
        <f>IF(OR($F174="",$H174=""),"",$F174-$H174)</f>
        <v/>
      </c>
      <c r="J174" s="21">
        <f>IF($G174="","",$G174-TODAY())</f>
        <v/>
      </c>
      <c r="K174" s="21">
        <f>IF($I174="","",IFERROR(IF(N(INDEX('Cars'!$J$4:$J$103,MATCH($A174,'Cars'!$A$4:$A$103,0)))&gt;0,ROUND($I174/INDEX('Cars'!$J$4:$J$103,MATCH($A174,'Cars'!$A$4:$A$103,0))*30,0),""),""))</f>
        <v/>
      </c>
      <c r="L174" s="21">
        <f>IF(AND($J174="",$K174=""),"",MIN(IF($J174="",99999,$J174),IF($K174="",99999,$K174)))</f>
        <v/>
      </c>
      <c r="M174" s="16">
        <f>IF(AND($I174="",$J174=""),"",IF(OR(AND($I174&lt;&gt;"",N($I174)&lt;0),AND($J174&lt;&gt;"",N($J174)&lt;0)),"Overdue",IF(OR(AND($I174&lt;&gt;"",N($I174)&lt;=IFERROR(INDEX('Intervals'!$E$4:$E$33,MATCH($B174,'Intervals'!$A$4:$A$33,0)),500)),AND($J174&lt;&gt;"",N($J174)&lt;=IFERROR(INDEX('Intervals'!$F$4:$F$33,MATCH($B174,'Intervals'!$A$4:$A$33,0)),14))),"Due soon","OK")))</f>
        <v/>
      </c>
      <c r="N174" s="15" t="n"/>
      <c r="O174" s="22">
        <f>IF(OR($M174="",$M174="OK"),"",$L174+ROW()/100000)</f>
        <v/>
      </c>
    </row>
    <row r="175">
      <c r="A175" s="15" t="n"/>
      <c r="B175" s="15" t="n"/>
      <c r="C175" s="16">
        <f>IF($B175="","",IFERROR(INDEX('Intervals'!$B$4:$B$33,MATCH($B175,'Intervals'!$A$4:$A$33,0)),""))</f>
        <v/>
      </c>
      <c r="D175" s="17" t="n"/>
      <c r="E175" s="18" t="n"/>
      <c r="F175" s="19">
        <f>IF(OR($B175="",$E175=""),"",IFERROR(IF(AND(INDEX('Intervals'!$G$4:$G$33,MATCH($B175,'Intervals'!$A$4:$A$33,0))&lt;&gt;"No",N(INDEX('Intervals'!$C$4:$C$33,MATCH($B175,'Intervals'!$A$4:$A$33,0)))&gt;0),$E175+N(INDEX('Intervals'!$C$4:$C$33,MATCH($B175,'Intervals'!$A$4:$A$33,0))),""),""))</f>
        <v/>
      </c>
      <c r="G175" s="20">
        <f>IF(OR($B175="",$D175=""),"",IFERROR(IF(AND(INDEX('Intervals'!$G$4:$G$33,MATCH($B175,'Intervals'!$A$4:$A$33,0))&lt;&gt;"No",N(INDEX('Intervals'!$D$4:$D$33,MATCH($B175,'Intervals'!$A$4:$A$33,0)))&gt;0),EDATE($D175,N(INDEX('Intervals'!$D$4:$D$33,MATCH($B175,'Intervals'!$A$4:$A$33,0)))),""),""))</f>
        <v/>
      </c>
      <c r="H175" s="19">
        <f>IF($A175="","",IFERROR(IF(N(INDEX('Cars'!$H$4:$H$103,MATCH($A175,'Cars'!$A$4:$A$103,0)))&gt;0,INDEX('Cars'!$H$4:$H$103,MATCH($A175,'Cars'!$A$4:$A$103,0)),""),""))</f>
        <v/>
      </c>
      <c r="I175" s="19">
        <f>IF(OR($F175="",$H175=""),"",$F175-$H175)</f>
        <v/>
      </c>
      <c r="J175" s="21">
        <f>IF($G175="","",$G175-TODAY())</f>
        <v/>
      </c>
      <c r="K175" s="21">
        <f>IF($I175="","",IFERROR(IF(N(INDEX('Cars'!$J$4:$J$103,MATCH($A175,'Cars'!$A$4:$A$103,0)))&gt;0,ROUND($I175/INDEX('Cars'!$J$4:$J$103,MATCH($A175,'Cars'!$A$4:$A$103,0))*30,0),""),""))</f>
        <v/>
      </c>
      <c r="L175" s="21">
        <f>IF(AND($J175="",$K175=""),"",MIN(IF($J175="",99999,$J175),IF($K175="",99999,$K175)))</f>
        <v/>
      </c>
      <c r="M175" s="16">
        <f>IF(AND($I175="",$J175=""),"",IF(OR(AND($I175&lt;&gt;"",N($I175)&lt;0),AND($J175&lt;&gt;"",N($J175)&lt;0)),"Overdue",IF(OR(AND($I175&lt;&gt;"",N($I175)&lt;=IFERROR(INDEX('Intervals'!$E$4:$E$33,MATCH($B175,'Intervals'!$A$4:$A$33,0)),500)),AND($J175&lt;&gt;"",N($J175)&lt;=IFERROR(INDEX('Intervals'!$F$4:$F$33,MATCH($B175,'Intervals'!$A$4:$A$33,0)),14))),"Due soon","OK")))</f>
        <v/>
      </c>
      <c r="N175" s="15" t="n"/>
      <c r="O175" s="22">
        <f>IF(OR($M175="",$M175="OK"),"",$L175+ROW()/100000)</f>
        <v/>
      </c>
    </row>
    <row r="176">
      <c r="A176" s="15" t="n"/>
      <c r="B176" s="15" t="n"/>
      <c r="C176" s="16">
        <f>IF($B176="","",IFERROR(INDEX('Intervals'!$B$4:$B$33,MATCH($B176,'Intervals'!$A$4:$A$33,0)),""))</f>
        <v/>
      </c>
      <c r="D176" s="17" t="n"/>
      <c r="E176" s="18" t="n"/>
      <c r="F176" s="19">
        <f>IF(OR($B176="",$E176=""),"",IFERROR(IF(AND(INDEX('Intervals'!$G$4:$G$33,MATCH($B176,'Intervals'!$A$4:$A$33,0))&lt;&gt;"No",N(INDEX('Intervals'!$C$4:$C$33,MATCH($B176,'Intervals'!$A$4:$A$33,0)))&gt;0),$E176+N(INDEX('Intervals'!$C$4:$C$33,MATCH($B176,'Intervals'!$A$4:$A$33,0))),""),""))</f>
        <v/>
      </c>
      <c r="G176" s="20">
        <f>IF(OR($B176="",$D176=""),"",IFERROR(IF(AND(INDEX('Intervals'!$G$4:$G$33,MATCH($B176,'Intervals'!$A$4:$A$33,0))&lt;&gt;"No",N(INDEX('Intervals'!$D$4:$D$33,MATCH($B176,'Intervals'!$A$4:$A$33,0)))&gt;0),EDATE($D176,N(INDEX('Intervals'!$D$4:$D$33,MATCH($B176,'Intervals'!$A$4:$A$33,0)))),""),""))</f>
        <v/>
      </c>
      <c r="H176" s="19">
        <f>IF($A176="","",IFERROR(IF(N(INDEX('Cars'!$H$4:$H$103,MATCH($A176,'Cars'!$A$4:$A$103,0)))&gt;0,INDEX('Cars'!$H$4:$H$103,MATCH($A176,'Cars'!$A$4:$A$103,0)),""),""))</f>
        <v/>
      </c>
      <c r="I176" s="19">
        <f>IF(OR($F176="",$H176=""),"",$F176-$H176)</f>
        <v/>
      </c>
      <c r="J176" s="21">
        <f>IF($G176="","",$G176-TODAY())</f>
        <v/>
      </c>
      <c r="K176" s="21">
        <f>IF($I176="","",IFERROR(IF(N(INDEX('Cars'!$J$4:$J$103,MATCH($A176,'Cars'!$A$4:$A$103,0)))&gt;0,ROUND($I176/INDEX('Cars'!$J$4:$J$103,MATCH($A176,'Cars'!$A$4:$A$103,0))*30,0),""),""))</f>
        <v/>
      </c>
      <c r="L176" s="21">
        <f>IF(AND($J176="",$K176=""),"",MIN(IF($J176="",99999,$J176),IF($K176="",99999,$K176)))</f>
        <v/>
      </c>
      <c r="M176" s="16">
        <f>IF(AND($I176="",$J176=""),"",IF(OR(AND($I176&lt;&gt;"",N($I176)&lt;0),AND($J176&lt;&gt;"",N($J176)&lt;0)),"Overdue",IF(OR(AND($I176&lt;&gt;"",N($I176)&lt;=IFERROR(INDEX('Intervals'!$E$4:$E$33,MATCH($B176,'Intervals'!$A$4:$A$33,0)),500)),AND($J176&lt;&gt;"",N($J176)&lt;=IFERROR(INDEX('Intervals'!$F$4:$F$33,MATCH($B176,'Intervals'!$A$4:$A$33,0)),14))),"Due soon","OK")))</f>
        <v/>
      </c>
      <c r="N176" s="15" t="n"/>
      <c r="O176" s="22">
        <f>IF(OR($M176="",$M176="OK"),"",$L176+ROW()/100000)</f>
        <v/>
      </c>
    </row>
    <row r="177">
      <c r="A177" s="15" t="n"/>
      <c r="B177" s="15" t="n"/>
      <c r="C177" s="16">
        <f>IF($B177="","",IFERROR(INDEX('Intervals'!$B$4:$B$33,MATCH($B177,'Intervals'!$A$4:$A$33,0)),""))</f>
        <v/>
      </c>
      <c r="D177" s="17" t="n"/>
      <c r="E177" s="18" t="n"/>
      <c r="F177" s="19">
        <f>IF(OR($B177="",$E177=""),"",IFERROR(IF(AND(INDEX('Intervals'!$G$4:$G$33,MATCH($B177,'Intervals'!$A$4:$A$33,0))&lt;&gt;"No",N(INDEX('Intervals'!$C$4:$C$33,MATCH($B177,'Intervals'!$A$4:$A$33,0)))&gt;0),$E177+N(INDEX('Intervals'!$C$4:$C$33,MATCH($B177,'Intervals'!$A$4:$A$33,0))),""),""))</f>
        <v/>
      </c>
      <c r="G177" s="20">
        <f>IF(OR($B177="",$D177=""),"",IFERROR(IF(AND(INDEX('Intervals'!$G$4:$G$33,MATCH($B177,'Intervals'!$A$4:$A$33,0))&lt;&gt;"No",N(INDEX('Intervals'!$D$4:$D$33,MATCH($B177,'Intervals'!$A$4:$A$33,0)))&gt;0),EDATE($D177,N(INDEX('Intervals'!$D$4:$D$33,MATCH($B177,'Intervals'!$A$4:$A$33,0)))),""),""))</f>
        <v/>
      </c>
      <c r="H177" s="19">
        <f>IF($A177="","",IFERROR(IF(N(INDEX('Cars'!$H$4:$H$103,MATCH($A177,'Cars'!$A$4:$A$103,0)))&gt;0,INDEX('Cars'!$H$4:$H$103,MATCH($A177,'Cars'!$A$4:$A$103,0)),""),""))</f>
        <v/>
      </c>
      <c r="I177" s="19">
        <f>IF(OR($F177="",$H177=""),"",$F177-$H177)</f>
        <v/>
      </c>
      <c r="J177" s="21">
        <f>IF($G177="","",$G177-TODAY())</f>
        <v/>
      </c>
      <c r="K177" s="21">
        <f>IF($I177="","",IFERROR(IF(N(INDEX('Cars'!$J$4:$J$103,MATCH($A177,'Cars'!$A$4:$A$103,0)))&gt;0,ROUND($I177/INDEX('Cars'!$J$4:$J$103,MATCH($A177,'Cars'!$A$4:$A$103,0))*30,0),""),""))</f>
        <v/>
      </c>
      <c r="L177" s="21">
        <f>IF(AND($J177="",$K177=""),"",MIN(IF($J177="",99999,$J177),IF($K177="",99999,$K177)))</f>
        <v/>
      </c>
      <c r="M177" s="16">
        <f>IF(AND($I177="",$J177=""),"",IF(OR(AND($I177&lt;&gt;"",N($I177)&lt;0),AND($J177&lt;&gt;"",N($J177)&lt;0)),"Overdue",IF(OR(AND($I177&lt;&gt;"",N($I177)&lt;=IFERROR(INDEX('Intervals'!$E$4:$E$33,MATCH($B177,'Intervals'!$A$4:$A$33,0)),500)),AND($J177&lt;&gt;"",N($J177)&lt;=IFERROR(INDEX('Intervals'!$F$4:$F$33,MATCH($B177,'Intervals'!$A$4:$A$33,0)),14))),"Due soon","OK")))</f>
        <v/>
      </c>
      <c r="N177" s="15" t="n"/>
      <c r="O177" s="22">
        <f>IF(OR($M177="",$M177="OK"),"",$L177+ROW()/100000)</f>
        <v/>
      </c>
    </row>
    <row r="178">
      <c r="A178" s="15" t="n"/>
      <c r="B178" s="15" t="n"/>
      <c r="C178" s="16">
        <f>IF($B178="","",IFERROR(INDEX('Intervals'!$B$4:$B$33,MATCH($B178,'Intervals'!$A$4:$A$33,0)),""))</f>
        <v/>
      </c>
      <c r="D178" s="17" t="n"/>
      <c r="E178" s="18" t="n"/>
      <c r="F178" s="19">
        <f>IF(OR($B178="",$E178=""),"",IFERROR(IF(AND(INDEX('Intervals'!$G$4:$G$33,MATCH($B178,'Intervals'!$A$4:$A$33,0))&lt;&gt;"No",N(INDEX('Intervals'!$C$4:$C$33,MATCH($B178,'Intervals'!$A$4:$A$33,0)))&gt;0),$E178+N(INDEX('Intervals'!$C$4:$C$33,MATCH($B178,'Intervals'!$A$4:$A$33,0))),""),""))</f>
        <v/>
      </c>
      <c r="G178" s="20">
        <f>IF(OR($B178="",$D178=""),"",IFERROR(IF(AND(INDEX('Intervals'!$G$4:$G$33,MATCH($B178,'Intervals'!$A$4:$A$33,0))&lt;&gt;"No",N(INDEX('Intervals'!$D$4:$D$33,MATCH($B178,'Intervals'!$A$4:$A$33,0)))&gt;0),EDATE($D178,N(INDEX('Intervals'!$D$4:$D$33,MATCH($B178,'Intervals'!$A$4:$A$33,0)))),""),""))</f>
        <v/>
      </c>
      <c r="H178" s="19">
        <f>IF($A178="","",IFERROR(IF(N(INDEX('Cars'!$H$4:$H$103,MATCH($A178,'Cars'!$A$4:$A$103,0)))&gt;0,INDEX('Cars'!$H$4:$H$103,MATCH($A178,'Cars'!$A$4:$A$103,0)),""),""))</f>
        <v/>
      </c>
      <c r="I178" s="19">
        <f>IF(OR($F178="",$H178=""),"",$F178-$H178)</f>
        <v/>
      </c>
      <c r="J178" s="21">
        <f>IF($G178="","",$G178-TODAY())</f>
        <v/>
      </c>
      <c r="K178" s="21">
        <f>IF($I178="","",IFERROR(IF(N(INDEX('Cars'!$J$4:$J$103,MATCH($A178,'Cars'!$A$4:$A$103,0)))&gt;0,ROUND($I178/INDEX('Cars'!$J$4:$J$103,MATCH($A178,'Cars'!$A$4:$A$103,0))*30,0),""),""))</f>
        <v/>
      </c>
      <c r="L178" s="21">
        <f>IF(AND($J178="",$K178=""),"",MIN(IF($J178="",99999,$J178),IF($K178="",99999,$K178)))</f>
        <v/>
      </c>
      <c r="M178" s="16">
        <f>IF(AND($I178="",$J178=""),"",IF(OR(AND($I178&lt;&gt;"",N($I178)&lt;0),AND($J178&lt;&gt;"",N($J178)&lt;0)),"Overdue",IF(OR(AND($I178&lt;&gt;"",N($I178)&lt;=IFERROR(INDEX('Intervals'!$E$4:$E$33,MATCH($B178,'Intervals'!$A$4:$A$33,0)),500)),AND($J178&lt;&gt;"",N($J178)&lt;=IFERROR(INDEX('Intervals'!$F$4:$F$33,MATCH($B178,'Intervals'!$A$4:$A$33,0)),14))),"Due soon","OK")))</f>
        <v/>
      </c>
      <c r="N178" s="15" t="n"/>
      <c r="O178" s="22">
        <f>IF(OR($M178="",$M178="OK"),"",$L178+ROW()/100000)</f>
        <v/>
      </c>
    </row>
    <row r="179">
      <c r="A179" s="15" t="n"/>
      <c r="B179" s="15" t="n"/>
      <c r="C179" s="16">
        <f>IF($B179="","",IFERROR(INDEX('Intervals'!$B$4:$B$33,MATCH($B179,'Intervals'!$A$4:$A$33,0)),""))</f>
        <v/>
      </c>
      <c r="D179" s="17" t="n"/>
      <c r="E179" s="18" t="n"/>
      <c r="F179" s="19">
        <f>IF(OR($B179="",$E179=""),"",IFERROR(IF(AND(INDEX('Intervals'!$G$4:$G$33,MATCH($B179,'Intervals'!$A$4:$A$33,0))&lt;&gt;"No",N(INDEX('Intervals'!$C$4:$C$33,MATCH($B179,'Intervals'!$A$4:$A$33,0)))&gt;0),$E179+N(INDEX('Intervals'!$C$4:$C$33,MATCH($B179,'Intervals'!$A$4:$A$33,0))),""),""))</f>
        <v/>
      </c>
      <c r="G179" s="20">
        <f>IF(OR($B179="",$D179=""),"",IFERROR(IF(AND(INDEX('Intervals'!$G$4:$G$33,MATCH($B179,'Intervals'!$A$4:$A$33,0))&lt;&gt;"No",N(INDEX('Intervals'!$D$4:$D$33,MATCH($B179,'Intervals'!$A$4:$A$33,0)))&gt;0),EDATE($D179,N(INDEX('Intervals'!$D$4:$D$33,MATCH($B179,'Intervals'!$A$4:$A$33,0)))),""),""))</f>
        <v/>
      </c>
      <c r="H179" s="19">
        <f>IF($A179="","",IFERROR(IF(N(INDEX('Cars'!$H$4:$H$103,MATCH($A179,'Cars'!$A$4:$A$103,0)))&gt;0,INDEX('Cars'!$H$4:$H$103,MATCH($A179,'Cars'!$A$4:$A$103,0)),""),""))</f>
        <v/>
      </c>
      <c r="I179" s="19">
        <f>IF(OR($F179="",$H179=""),"",$F179-$H179)</f>
        <v/>
      </c>
      <c r="J179" s="21">
        <f>IF($G179="","",$G179-TODAY())</f>
        <v/>
      </c>
      <c r="K179" s="21">
        <f>IF($I179="","",IFERROR(IF(N(INDEX('Cars'!$J$4:$J$103,MATCH($A179,'Cars'!$A$4:$A$103,0)))&gt;0,ROUND($I179/INDEX('Cars'!$J$4:$J$103,MATCH($A179,'Cars'!$A$4:$A$103,0))*30,0),""),""))</f>
        <v/>
      </c>
      <c r="L179" s="21">
        <f>IF(AND($J179="",$K179=""),"",MIN(IF($J179="",99999,$J179),IF($K179="",99999,$K179)))</f>
        <v/>
      </c>
      <c r="M179" s="16">
        <f>IF(AND($I179="",$J179=""),"",IF(OR(AND($I179&lt;&gt;"",N($I179)&lt;0),AND($J179&lt;&gt;"",N($J179)&lt;0)),"Overdue",IF(OR(AND($I179&lt;&gt;"",N($I179)&lt;=IFERROR(INDEX('Intervals'!$E$4:$E$33,MATCH($B179,'Intervals'!$A$4:$A$33,0)),500)),AND($J179&lt;&gt;"",N($J179)&lt;=IFERROR(INDEX('Intervals'!$F$4:$F$33,MATCH($B179,'Intervals'!$A$4:$A$33,0)),14))),"Due soon","OK")))</f>
        <v/>
      </c>
      <c r="N179" s="15" t="n"/>
      <c r="O179" s="22">
        <f>IF(OR($M179="",$M179="OK"),"",$L179+ROW()/100000)</f>
        <v/>
      </c>
    </row>
    <row r="180">
      <c r="A180" s="15" t="n"/>
      <c r="B180" s="15" t="n"/>
      <c r="C180" s="16">
        <f>IF($B180="","",IFERROR(INDEX('Intervals'!$B$4:$B$33,MATCH($B180,'Intervals'!$A$4:$A$33,0)),""))</f>
        <v/>
      </c>
      <c r="D180" s="17" t="n"/>
      <c r="E180" s="18" t="n"/>
      <c r="F180" s="19">
        <f>IF(OR($B180="",$E180=""),"",IFERROR(IF(AND(INDEX('Intervals'!$G$4:$G$33,MATCH($B180,'Intervals'!$A$4:$A$33,0))&lt;&gt;"No",N(INDEX('Intervals'!$C$4:$C$33,MATCH($B180,'Intervals'!$A$4:$A$33,0)))&gt;0),$E180+N(INDEX('Intervals'!$C$4:$C$33,MATCH($B180,'Intervals'!$A$4:$A$33,0))),""),""))</f>
        <v/>
      </c>
      <c r="G180" s="20">
        <f>IF(OR($B180="",$D180=""),"",IFERROR(IF(AND(INDEX('Intervals'!$G$4:$G$33,MATCH($B180,'Intervals'!$A$4:$A$33,0))&lt;&gt;"No",N(INDEX('Intervals'!$D$4:$D$33,MATCH($B180,'Intervals'!$A$4:$A$33,0)))&gt;0),EDATE($D180,N(INDEX('Intervals'!$D$4:$D$33,MATCH($B180,'Intervals'!$A$4:$A$33,0)))),""),""))</f>
        <v/>
      </c>
      <c r="H180" s="19">
        <f>IF($A180="","",IFERROR(IF(N(INDEX('Cars'!$H$4:$H$103,MATCH($A180,'Cars'!$A$4:$A$103,0)))&gt;0,INDEX('Cars'!$H$4:$H$103,MATCH($A180,'Cars'!$A$4:$A$103,0)),""),""))</f>
        <v/>
      </c>
      <c r="I180" s="19">
        <f>IF(OR($F180="",$H180=""),"",$F180-$H180)</f>
        <v/>
      </c>
      <c r="J180" s="21">
        <f>IF($G180="","",$G180-TODAY())</f>
        <v/>
      </c>
      <c r="K180" s="21">
        <f>IF($I180="","",IFERROR(IF(N(INDEX('Cars'!$J$4:$J$103,MATCH($A180,'Cars'!$A$4:$A$103,0)))&gt;0,ROUND($I180/INDEX('Cars'!$J$4:$J$103,MATCH($A180,'Cars'!$A$4:$A$103,0))*30,0),""),""))</f>
        <v/>
      </c>
      <c r="L180" s="21">
        <f>IF(AND($J180="",$K180=""),"",MIN(IF($J180="",99999,$J180),IF($K180="",99999,$K180)))</f>
        <v/>
      </c>
      <c r="M180" s="16">
        <f>IF(AND($I180="",$J180=""),"",IF(OR(AND($I180&lt;&gt;"",N($I180)&lt;0),AND($J180&lt;&gt;"",N($J180)&lt;0)),"Overdue",IF(OR(AND($I180&lt;&gt;"",N($I180)&lt;=IFERROR(INDEX('Intervals'!$E$4:$E$33,MATCH($B180,'Intervals'!$A$4:$A$33,0)),500)),AND($J180&lt;&gt;"",N($J180)&lt;=IFERROR(INDEX('Intervals'!$F$4:$F$33,MATCH($B180,'Intervals'!$A$4:$A$33,0)),14))),"Due soon","OK")))</f>
        <v/>
      </c>
      <c r="N180" s="15" t="n"/>
      <c r="O180" s="22">
        <f>IF(OR($M180="",$M180="OK"),"",$L180+ROW()/100000)</f>
        <v/>
      </c>
    </row>
    <row r="181">
      <c r="A181" s="15" t="n"/>
      <c r="B181" s="15" t="n"/>
      <c r="C181" s="16">
        <f>IF($B181="","",IFERROR(INDEX('Intervals'!$B$4:$B$33,MATCH($B181,'Intervals'!$A$4:$A$33,0)),""))</f>
        <v/>
      </c>
      <c r="D181" s="17" t="n"/>
      <c r="E181" s="18" t="n"/>
      <c r="F181" s="19">
        <f>IF(OR($B181="",$E181=""),"",IFERROR(IF(AND(INDEX('Intervals'!$G$4:$G$33,MATCH($B181,'Intervals'!$A$4:$A$33,0))&lt;&gt;"No",N(INDEX('Intervals'!$C$4:$C$33,MATCH($B181,'Intervals'!$A$4:$A$33,0)))&gt;0),$E181+N(INDEX('Intervals'!$C$4:$C$33,MATCH($B181,'Intervals'!$A$4:$A$33,0))),""),""))</f>
        <v/>
      </c>
      <c r="G181" s="20">
        <f>IF(OR($B181="",$D181=""),"",IFERROR(IF(AND(INDEX('Intervals'!$G$4:$G$33,MATCH($B181,'Intervals'!$A$4:$A$33,0))&lt;&gt;"No",N(INDEX('Intervals'!$D$4:$D$33,MATCH($B181,'Intervals'!$A$4:$A$33,0)))&gt;0),EDATE($D181,N(INDEX('Intervals'!$D$4:$D$33,MATCH($B181,'Intervals'!$A$4:$A$33,0)))),""),""))</f>
        <v/>
      </c>
      <c r="H181" s="19">
        <f>IF($A181="","",IFERROR(IF(N(INDEX('Cars'!$H$4:$H$103,MATCH($A181,'Cars'!$A$4:$A$103,0)))&gt;0,INDEX('Cars'!$H$4:$H$103,MATCH($A181,'Cars'!$A$4:$A$103,0)),""),""))</f>
        <v/>
      </c>
      <c r="I181" s="19">
        <f>IF(OR($F181="",$H181=""),"",$F181-$H181)</f>
        <v/>
      </c>
      <c r="J181" s="21">
        <f>IF($G181="","",$G181-TODAY())</f>
        <v/>
      </c>
      <c r="K181" s="21">
        <f>IF($I181="","",IFERROR(IF(N(INDEX('Cars'!$J$4:$J$103,MATCH($A181,'Cars'!$A$4:$A$103,0)))&gt;0,ROUND($I181/INDEX('Cars'!$J$4:$J$103,MATCH($A181,'Cars'!$A$4:$A$103,0))*30,0),""),""))</f>
        <v/>
      </c>
      <c r="L181" s="21">
        <f>IF(AND($J181="",$K181=""),"",MIN(IF($J181="",99999,$J181),IF($K181="",99999,$K181)))</f>
        <v/>
      </c>
      <c r="M181" s="16">
        <f>IF(AND($I181="",$J181=""),"",IF(OR(AND($I181&lt;&gt;"",N($I181)&lt;0),AND($J181&lt;&gt;"",N($J181)&lt;0)),"Overdue",IF(OR(AND($I181&lt;&gt;"",N($I181)&lt;=IFERROR(INDEX('Intervals'!$E$4:$E$33,MATCH($B181,'Intervals'!$A$4:$A$33,0)),500)),AND($J181&lt;&gt;"",N($J181)&lt;=IFERROR(INDEX('Intervals'!$F$4:$F$33,MATCH($B181,'Intervals'!$A$4:$A$33,0)),14))),"Due soon","OK")))</f>
        <v/>
      </c>
      <c r="N181" s="15" t="n"/>
      <c r="O181" s="22">
        <f>IF(OR($M181="",$M181="OK"),"",$L181+ROW()/100000)</f>
        <v/>
      </c>
    </row>
    <row r="182">
      <c r="A182" s="15" t="n"/>
      <c r="B182" s="15" t="n"/>
      <c r="C182" s="16">
        <f>IF($B182="","",IFERROR(INDEX('Intervals'!$B$4:$B$33,MATCH($B182,'Intervals'!$A$4:$A$33,0)),""))</f>
        <v/>
      </c>
      <c r="D182" s="17" t="n"/>
      <c r="E182" s="18" t="n"/>
      <c r="F182" s="19">
        <f>IF(OR($B182="",$E182=""),"",IFERROR(IF(AND(INDEX('Intervals'!$G$4:$G$33,MATCH($B182,'Intervals'!$A$4:$A$33,0))&lt;&gt;"No",N(INDEX('Intervals'!$C$4:$C$33,MATCH($B182,'Intervals'!$A$4:$A$33,0)))&gt;0),$E182+N(INDEX('Intervals'!$C$4:$C$33,MATCH($B182,'Intervals'!$A$4:$A$33,0))),""),""))</f>
        <v/>
      </c>
      <c r="G182" s="20">
        <f>IF(OR($B182="",$D182=""),"",IFERROR(IF(AND(INDEX('Intervals'!$G$4:$G$33,MATCH($B182,'Intervals'!$A$4:$A$33,0))&lt;&gt;"No",N(INDEX('Intervals'!$D$4:$D$33,MATCH($B182,'Intervals'!$A$4:$A$33,0)))&gt;0),EDATE($D182,N(INDEX('Intervals'!$D$4:$D$33,MATCH($B182,'Intervals'!$A$4:$A$33,0)))),""),""))</f>
        <v/>
      </c>
      <c r="H182" s="19">
        <f>IF($A182="","",IFERROR(IF(N(INDEX('Cars'!$H$4:$H$103,MATCH($A182,'Cars'!$A$4:$A$103,0)))&gt;0,INDEX('Cars'!$H$4:$H$103,MATCH($A182,'Cars'!$A$4:$A$103,0)),""),""))</f>
        <v/>
      </c>
      <c r="I182" s="19">
        <f>IF(OR($F182="",$H182=""),"",$F182-$H182)</f>
        <v/>
      </c>
      <c r="J182" s="21">
        <f>IF($G182="","",$G182-TODAY())</f>
        <v/>
      </c>
      <c r="K182" s="21">
        <f>IF($I182="","",IFERROR(IF(N(INDEX('Cars'!$J$4:$J$103,MATCH($A182,'Cars'!$A$4:$A$103,0)))&gt;0,ROUND($I182/INDEX('Cars'!$J$4:$J$103,MATCH($A182,'Cars'!$A$4:$A$103,0))*30,0),""),""))</f>
        <v/>
      </c>
      <c r="L182" s="21">
        <f>IF(AND($J182="",$K182=""),"",MIN(IF($J182="",99999,$J182),IF($K182="",99999,$K182)))</f>
        <v/>
      </c>
      <c r="M182" s="16">
        <f>IF(AND($I182="",$J182=""),"",IF(OR(AND($I182&lt;&gt;"",N($I182)&lt;0),AND($J182&lt;&gt;"",N($J182)&lt;0)),"Overdue",IF(OR(AND($I182&lt;&gt;"",N($I182)&lt;=IFERROR(INDEX('Intervals'!$E$4:$E$33,MATCH($B182,'Intervals'!$A$4:$A$33,0)),500)),AND($J182&lt;&gt;"",N($J182)&lt;=IFERROR(INDEX('Intervals'!$F$4:$F$33,MATCH($B182,'Intervals'!$A$4:$A$33,0)),14))),"Due soon","OK")))</f>
        <v/>
      </c>
      <c r="N182" s="15" t="n"/>
      <c r="O182" s="22">
        <f>IF(OR($M182="",$M182="OK"),"",$L182+ROW()/100000)</f>
        <v/>
      </c>
    </row>
    <row r="183">
      <c r="A183" s="15" t="n"/>
      <c r="B183" s="15" t="n"/>
      <c r="C183" s="16">
        <f>IF($B183="","",IFERROR(INDEX('Intervals'!$B$4:$B$33,MATCH($B183,'Intervals'!$A$4:$A$33,0)),""))</f>
        <v/>
      </c>
      <c r="D183" s="17" t="n"/>
      <c r="E183" s="18" t="n"/>
      <c r="F183" s="19">
        <f>IF(OR($B183="",$E183=""),"",IFERROR(IF(AND(INDEX('Intervals'!$G$4:$G$33,MATCH($B183,'Intervals'!$A$4:$A$33,0))&lt;&gt;"No",N(INDEX('Intervals'!$C$4:$C$33,MATCH($B183,'Intervals'!$A$4:$A$33,0)))&gt;0),$E183+N(INDEX('Intervals'!$C$4:$C$33,MATCH($B183,'Intervals'!$A$4:$A$33,0))),""),""))</f>
        <v/>
      </c>
      <c r="G183" s="20">
        <f>IF(OR($B183="",$D183=""),"",IFERROR(IF(AND(INDEX('Intervals'!$G$4:$G$33,MATCH($B183,'Intervals'!$A$4:$A$33,0))&lt;&gt;"No",N(INDEX('Intervals'!$D$4:$D$33,MATCH($B183,'Intervals'!$A$4:$A$33,0)))&gt;0),EDATE($D183,N(INDEX('Intervals'!$D$4:$D$33,MATCH($B183,'Intervals'!$A$4:$A$33,0)))),""),""))</f>
        <v/>
      </c>
      <c r="H183" s="19">
        <f>IF($A183="","",IFERROR(IF(N(INDEX('Cars'!$H$4:$H$103,MATCH($A183,'Cars'!$A$4:$A$103,0)))&gt;0,INDEX('Cars'!$H$4:$H$103,MATCH($A183,'Cars'!$A$4:$A$103,0)),""),""))</f>
        <v/>
      </c>
      <c r="I183" s="19">
        <f>IF(OR($F183="",$H183=""),"",$F183-$H183)</f>
        <v/>
      </c>
      <c r="J183" s="21">
        <f>IF($G183="","",$G183-TODAY())</f>
        <v/>
      </c>
      <c r="K183" s="21">
        <f>IF($I183="","",IFERROR(IF(N(INDEX('Cars'!$J$4:$J$103,MATCH($A183,'Cars'!$A$4:$A$103,0)))&gt;0,ROUND($I183/INDEX('Cars'!$J$4:$J$103,MATCH($A183,'Cars'!$A$4:$A$103,0))*30,0),""),""))</f>
        <v/>
      </c>
      <c r="L183" s="21">
        <f>IF(AND($J183="",$K183=""),"",MIN(IF($J183="",99999,$J183),IF($K183="",99999,$K183)))</f>
        <v/>
      </c>
      <c r="M183" s="16">
        <f>IF(AND($I183="",$J183=""),"",IF(OR(AND($I183&lt;&gt;"",N($I183)&lt;0),AND($J183&lt;&gt;"",N($J183)&lt;0)),"Overdue",IF(OR(AND($I183&lt;&gt;"",N($I183)&lt;=IFERROR(INDEX('Intervals'!$E$4:$E$33,MATCH($B183,'Intervals'!$A$4:$A$33,0)),500)),AND($J183&lt;&gt;"",N($J183)&lt;=IFERROR(INDEX('Intervals'!$F$4:$F$33,MATCH($B183,'Intervals'!$A$4:$A$33,0)),14))),"Due soon","OK")))</f>
        <v/>
      </c>
      <c r="N183" s="15" t="n"/>
      <c r="O183" s="22">
        <f>IF(OR($M183="",$M183="OK"),"",$L183+ROW()/100000)</f>
        <v/>
      </c>
    </row>
    <row r="184">
      <c r="A184" s="15" t="n"/>
      <c r="B184" s="15" t="n"/>
      <c r="C184" s="16">
        <f>IF($B184="","",IFERROR(INDEX('Intervals'!$B$4:$B$33,MATCH($B184,'Intervals'!$A$4:$A$33,0)),""))</f>
        <v/>
      </c>
      <c r="D184" s="17" t="n"/>
      <c r="E184" s="18" t="n"/>
      <c r="F184" s="19">
        <f>IF(OR($B184="",$E184=""),"",IFERROR(IF(AND(INDEX('Intervals'!$G$4:$G$33,MATCH($B184,'Intervals'!$A$4:$A$33,0))&lt;&gt;"No",N(INDEX('Intervals'!$C$4:$C$33,MATCH($B184,'Intervals'!$A$4:$A$33,0)))&gt;0),$E184+N(INDEX('Intervals'!$C$4:$C$33,MATCH($B184,'Intervals'!$A$4:$A$33,0))),""),""))</f>
        <v/>
      </c>
      <c r="G184" s="20">
        <f>IF(OR($B184="",$D184=""),"",IFERROR(IF(AND(INDEX('Intervals'!$G$4:$G$33,MATCH($B184,'Intervals'!$A$4:$A$33,0))&lt;&gt;"No",N(INDEX('Intervals'!$D$4:$D$33,MATCH($B184,'Intervals'!$A$4:$A$33,0)))&gt;0),EDATE($D184,N(INDEX('Intervals'!$D$4:$D$33,MATCH($B184,'Intervals'!$A$4:$A$33,0)))),""),""))</f>
        <v/>
      </c>
      <c r="H184" s="19">
        <f>IF($A184="","",IFERROR(IF(N(INDEX('Cars'!$H$4:$H$103,MATCH($A184,'Cars'!$A$4:$A$103,0)))&gt;0,INDEX('Cars'!$H$4:$H$103,MATCH($A184,'Cars'!$A$4:$A$103,0)),""),""))</f>
        <v/>
      </c>
      <c r="I184" s="19">
        <f>IF(OR($F184="",$H184=""),"",$F184-$H184)</f>
        <v/>
      </c>
      <c r="J184" s="21">
        <f>IF($G184="","",$G184-TODAY())</f>
        <v/>
      </c>
      <c r="K184" s="21">
        <f>IF($I184="","",IFERROR(IF(N(INDEX('Cars'!$J$4:$J$103,MATCH($A184,'Cars'!$A$4:$A$103,0)))&gt;0,ROUND($I184/INDEX('Cars'!$J$4:$J$103,MATCH($A184,'Cars'!$A$4:$A$103,0))*30,0),""),""))</f>
        <v/>
      </c>
      <c r="L184" s="21">
        <f>IF(AND($J184="",$K184=""),"",MIN(IF($J184="",99999,$J184),IF($K184="",99999,$K184)))</f>
        <v/>
      </c>
      <c r="M184" s="16">
        <f>IF(AND($I184="",$J184=""),"",IF(OR(AND($I184&lt;&gt;"",N($I184)&lt;0),AND($J184&lt;&gt;"",N($J184)&lt;0)),"Overdue",IF(OR(AND($I184&lt;&gt;"",N($I184)&lt;=IFERROR(INDEX('Intervals'!$E$4:$E$33,MATCH($B184,'Intervals'!$A$4:$A$33,0)),500)),AND($J184&lt;&gt;"",N($J184)&lt;=IFERROR(INDEX('Intervals'!$F$4:$F$33,MATCH($B184,'Intervals'!$A$4:$A$33,0)),14))),"Due soon","OK")))</f>
        <v/>
      </c>
      <c r="N184" s="15" t="n"/>
      <c r="O184" s="22">
        <f>IF(OR($M184="",$M184="OK"),"",$L184+ROW()/100000)</f>
        <v/>
      </c>
    </row>
    <row r="185">
      <c r="A185" s="15" t="n"/>
      <c r="B185" s="15" t="n"/>
      <c r="C185" s="16">
        <f>IF($B185="","",IFERROR(INDEX('Intervals'!$B$4:$B$33,MATCH($B185,'Intervals'!$A$4:$A$33,0)),""))</f>
        <v/>
      </c>
      <c r="D185" s="17" t="n"/>
      <c r="E185" s="18" t="n"/>
      <c r="F185" s="19">
        <f>IF(OR($B185="",$E185=""),"",IFERROR(IF(AND(INDEX('Intervals'!$G$4:$G$33,MATCH($B185,'Intervals'!$A$4:$A$33,0))&lt;&gt;"No",N(INDEX('Intervals'!$C$4:$C$33,MATCH($B185,'Intervals'!$A$4:$A$33,0)))&gt;0),$E185+N(INDEX('Intervals'!$C$4:$C$33,MATCH($B185,'Intervals'!$A$4:$A$33,0))),""),""))</f>
        <v/>
      </c>
      <c r="G185" s="20">
        <f>IF(OR($B185="",$D185=""),"",IFERROR(IF(AND(INDEX('Intervals'!$G$4:$G$33,MATCH($B185,'Intervals'!$A$4:$A$33,0))&lt;&gt;"No",N(INDEX('Intervals'!$D$4:$D$33,MATCH($B185,'Intervals'!$A$4:$A$33,0)))&gt;0),EDATE($D185,N(INDEX('Intervals'!$D$4:$D$33,MATCH($B185,'Intervals'!$A$4:$A$33,0)))),""),""))</f>
        <v/>
      </c>
      <c r="H185" s="19">
        <f>IF($A185="","",IFERROR(IF(N(INDEX('Cars'!$H$4:$H$103,MATCH($A185,'Cars'!$A$4:$A$103,0)))&gt;0,INDEX('Cars'!$H$4:$H$103,MATCH($A185,'Cars'!$A$4:$A$103,0)),""),""))</f>
        <v/>
      </c>
      <c r="I185" s="19">
        <f>IF(OR($F185="",$H185=""),"",$F185-$H185)</f>
        <v/>
      </c>
      <c r="J185" s="21">
        <f>IF($G185="","",$G185-TODAY())</f>
        <v/>
      </c>
      <c r="K185" s="21">
        <f>IF($I185="","",IFERROR(IF(N(INDEX('Cars'!$J$4:$J$103,MATCH($A185,'Cars'!$A$4:$A$103,0)))&gt;0,ROUND($I185/INDEX('Cars'!$J$4:$J$103,MATCH($A185,'Cars'!$A$4:$A$103,0))*30,0),""),""))</f>
        <v/>
      </c>
      <c r="L185" s="21">
        <f>IF(AND($J185="",$K185=""),"",MIN(IF($J185="",99999,$J185),IF($K185="",99999,$K185)))</f>
        <v/>
      </c>
      <c r="M185" s="16">
        <f>IF(AND($I185="",$J185=""),"",IF(OR(AND($I185&lt;&gt;"",N($I185)&lt;0),AND($J185&lt;&gt;"",N($J185)&lt;0)),"Overdue",IF(OR(AND($I185&lt;&gt;"",N($I185)&lt;=IFERROR(INDEX('Intervals'!$E$4:$E$33,MATCH($B185,'Intervals'!$A$4:$A$33,0)),500)),AND($J185&lt;&gt;"",N($J185)&lt;=IFERROR(INDEX('Intervals'!$F$4:$F$33,MATCH($B185,'Intervals'!$A$4:$A$33,0)),14))),"Due soon","OK")))</f>
        <v/>
      </c>
      <c r="N185" s="15" t="n"/>
      <c r="O185" s="22">
        <f>IF(OR($M185="",$M185="OK"),"",$L185+ROW()/100000)</f>
        <v/>
      </c>
    </row>
    <row r="186">
      <c r="A186" s="15" t="n"/>
      <c r="B186" s="15" t="n"/>
      <c r="C186" s="16">
        <f>IF($B186="","",IFERROR(INDEX('Intervals'!$B$4:$B$33,MATCH($B186,'Intervals'!$A$4:$A$33,0)),""))</f>
        <v/>
      </c>
      <c r="D186" s="17" t="n"/>
      <c r="E186" s="18" t="n"/>
      <c r="F186" s="19">
        <f>IF(OR($B186="",$E186=""),"",IFERROR(IF(AND(INDEX('Intervals'!$G$4:$G$33,MATCH($B186,'Intervals'!$A$4:$A$33,0))&lt;&gt;"No",N(INDEX('Intervals'!$C$4:$C$33,MATCH($B186,'Intervals'!$A$4:$A$33,0)))&gt;0),$E186+N(INDEX('Intervals'!$C$4:$C$33,MATCH($B186,'Intervals'!$A$4:$A$33,0))),""),""))</f>
        <v/>
      </c>
      <c r="G186" s="20">
        <f>IF(OR($B186="",$D186=""),"",IFERROR(IF(AND(INDEX('Intervals'!$G$4:$G$33,MATCH($B186,'Intervals'!$A$4:$A$33,0))&lt;&gt;"No",N(INDEX('Intervals'!$D$4:$D$33,MATCH($B186,'Intervals'!$A$4:$A$33,0)))&gt;0),EDATE($D186,N(INDEX('Intervals'!$D$4:$D$33,MATCH($B186,'Intervals'!$A$4:$A$33,0)))),""),""))</f>
        <v/>
      </c>
      <c r="H186" s="19">
        <f>IF($A186="","",IFERROR(IF(N(INDEX('Cars'!$H$4:$H$103,MATCH($A186,'Cars'!$A$4:$A$103,0)))&gt;0,INDEX('Cars'!$H$4:$H$103,MATCH($A186,'Cars'!$A$4:$A$103,0)),""),""))</f>
        <v/>
      </c>
      <c r="I186" s="19">
        <f>IF(OR($F186="",$H186=""),"",$F186-$H186)</f>
        <v/>
      </c>
      <c r="J186" s="21">
        <f>IF($G186="","",$G186-TODAY())</f>
        <v/>
      </c>
      <c r="K186" s="21">
        <f>IF($I186="","",IFERROR(IF(N(INDEX('Cars'!$J$4:$J$103,MATCH($A186,'Cars'!$A$4:$A$103,0)))&gt;0,ROUND($I186/INDEX('Cars'!$J$4:$J$103,MATCH($A186,'Cars'!$A$4:$A$103,0))*30,0),""),""))</f>
        <v/>
      </c>
      <c r="L186" s="21">
        <f>IF(AND($J186="",$K186=""),"",MIN(IF($J186="",99999,$J186),IF($K186="",99999,$K186)))</f>
        <v/>
      </c>
      <c r="M186" s="16">
        <f>IF(AND($I186="",$J186=""),"",IF(OR(AND($I186&lt;&gt;"",N($I186)&lt;0),AND($J186&lt;&gt;"",N($J186)&lt;0)),"Overdue",IF(OR(AND($I186&lt;&gt;"",N($I186)&lt;=IFERROR(INDEX('Intervals'!$E$4:$E$33,MATCH($B186,'Intervals'!$A$4:$A$33,0)),500)),AND($J186&lt;&gt;"",N($J186)&lt;=IFERROR(INDEX('Intervals'!$F$4:$F$33,MATCH($B186,'Intervals'!$A$4:$A$33,0)),14))),"Due soon","OK")))</f>
        <v/>
      </c>
      <c r="N186" s="15" t="n"/>
      <c r="O186" s="22">
        <f>IF(OR($M186="",$M186="OK"),"",$L186+ROW()/100000)</f>
        <v/>
      </c>
    </row>
    <row r="187">
      <c r="A187" s="15" t="n"/>
      <c r="B187" s="15" t="n"/>
      <c r="C187" s="16">
        <f>IF($B187="","",IFERROR(INDEX('Intervals'!$B$4:$B$33,MATCH($B187,'Intervals'!$A$4:$A$33,0)),""))</f>
        <v/>
      </c>
      <c r="D187" s="17" t="n"/>
      <c r="E187" s="18" t="n"/>
      <c r="F187" s="19">
        <f>IF(OR($B187="",$E187=""),"",IFERROR(IF(AND(INDEX('Intervals'!$G$4:$G$33,MATCH($B187,'Intervals'!$A$4:$A$33,0))&lt;&gt;"No",N(INDEX('Intervals'!$C$4:$C$33,MATCH($B187,'Intervals'!$A$4:$A$33,0)))&gt;0),$E187+N(INDEX('Intervals'!$C$4:$C$33,MATCH($B187,'Intervals'!$A$4:$A$33,0))),""),""))</f>
        <v/>
      </c>
      <c r="G187" s="20">
        <f>IF(OR($B187="",$D187=""),"",IFERROR(IF(AND(INDEX('Intervals'!$G$4:$G$33,MATCH($B187,'Intervals'!$A$4:$A$33,0))&lt;&gt;"No",N(INDEX('Intervals'!$D$4:$D$33,MATCH($B187,'Intervals'!$A$4:$A$33,0)))&gt;0),EDATE($D187,N(INDEX('Intervals'!$D$4:$D$33,MATCH($B187,'Intervals'!$A$4:$A$33,0)))),""),""))</f>
        <v/>
      </c>
      <c r="H187" s="19">
        <f>IF($A187="","",IFERROR(IF(N(INDEX('Cars'!$H$4:$H$103,MATCH($A187,'Cars'!$A$4:$A$103,0)))&gt;0,INDEX('Cars'!$H$4:$H$103,MATCH($A187,'Cars'!$A$4:$A$103,0)),""),""))</f>
        <v/>
      </c>
      <c r="I187" s="19">
        <f>IF(OR($F187="",$H187=""),"",$F187-$H187)</f>
        <v/>
      </c>
      <c r="J187" s="21">
        <f>IF($G187="","",$G187-TODAY())</f>
        <v/>
      </c>
      <c r="K187" s="21">
        <f>IF($I187="","",IFERROR(IF(N(INDEX('Cars'!$J$4:$J$103,MATCH($A187,'Cars'!$A$4:$A$103,0)))&gt;0,ROUND($I187/INDEX('Cars'!$J$4:$J$103,MATCH($A187,'Cars'!$A$4:$A$103,0))*30,0),""),""))</f>
        <v/>
      </c>
      <c r="L187" s="21">
        <f>IF(AND($J187="",$K187=""),"",MIN(IF($J187="",99999,$J187),IF($K187="",99999,$K187)))</f>
        <v/>
      </c>
      <c r="M187" s="16">
        <f>IF(AND($I187="",$J187=""),"",IF(OR(AND($I187&lt;&gt;"",N($I187)&lt;0),AND($J187&lt;&gt;"",N($J187)&lt;0)),"Overdue",IF(OR(AND($I187&lt;&gt;"",N($I187)&lt;=IFERROR(INDEX('Intervals'!$E$4:$E$33,MATCH($B187,'Intervals'!$A$4:$A$33,0)),500)),AND($J187&lt;&gt;"",N($J187)&lt;=IFERROR(INDEX('Intervals'!$F$4:$F$33,MATCH($B187,'Intervals'!$A$4:$A$33,0)),14))),"Due soon","OK")))</f>
        <v/>
      </c>
      <c r="N187" s="15" t="n"/>
      <c r="O187" s="22">
        <f>IF(OR($M187="",$M187="OK"),"",$L187+ROW()/100000)</f>
        <v/>
      </c>
    </row>
    <row r="188">
      <c r="A188" s="15" t="n"/>
      <c r="B188" s="15" t="n"/>
      <c r="C188" s="16">
        <f>IF($B188="","",IFERROR(INDEX('Intervals'!$B$4:$B$33,MATCH($B188,'Intervals'!$A$4:$A$33,0)),""))</f>
        <v/>
      </c>
      <c r="D188" s="17" t="n"/>
      <c r="E188" s="18" t="n"/>
      <c r="F188" s="19">
        <f>IF(OR($B188="",$E188=""),"",IFERROR(IF(AND(INDEX('Intervals'!$G$4:$G$33,MATCH($B188,'Intervals'!$A$4:$A$33,0))&lt;&gt;"No",N(INDEX('Intervals'!$C$4:$C$33,MATCH($B188,'Intervals'!$A$4:$A$33,0)))&gt;0),$E188+N(INDEX('Intervals'!$C$4:$C$33,MATCH($B188,'Intervals'!$A$4:$A$33,0))),""),""))</f>
        <v/>
      </c>
      <c r="G188" s="20">
        <f>IF(OR($B188="",$D188=""),"",IFERROR(IF(AND(INDEX('Intervals'!$G$4:$G$33,MATCH($B188,'Intervals'!$A$4:$A$33,0))&lt;&gt;"No",N(INDEX('Intervals'!$D$4:$D$33,MATCH($B188,'Intervals'!$A$4:$A$33,0)))&gt;0),EDATE($D188,N(INDEX('Intervals'!$D$4:$D$33,MATCH($B188,'Intervals'!$A$4:$A$33,0)))),""),""))</f>
        <v/>
      </c>
      <c r="H188" s="19">
        <f>IF($A188="","",IFERROR(IF(N(INDEX('Cars'!$H$4:$H$103,MATCH($A188,'Cars'!$A$4:$A$103,0)))&gt;0,INDEX('Cars'!$H$4:$H$103,MATCH($A188,'Cars'!$A$4:$A$103,0)),""),""))</f>
        <v/>
      </c>
      <c r="I188" s="19">
        <f>IF(OR($F188="",$H188=""),"",$F188-$H188)</f>
        <v/>
      </c>
      <c r="J188" s="21">
        <f>IF($G188="","",$G188-TODAY())</f>
        <v/>
      </c>
      <c r="K188" s="21">
        <f>IF($I188="","",IFERROR(IF(N(INDEX('Cars'!$J$4:$J$103,MATCH($A188,'Cars'!$A$4:$A$103,0)))&gt;0,ROUND($I188/INDEX('Cars'!$J$4:$J$103,MATCH($A188,'Cars'!$A$4:$A$103,0))*30,0),""),""))</f>
        <v/>
      </c>
      <c r="L188" s="21">
        <f>IF(AND($J188="",$K188=""),"",MIN(IF($J188="",99999,$J188),IF($K188="",99999,$K188)))</f>
        <v/>
      </c>
      <c r="M188" s="16">
        <f>IF(AND($I188="",$J188=""),"",IF(OR(AND($I188&lt;&gt;"",N($I188)&lt;0),AND($J188&lt;&gt;"",N($J188)&lt;0)),"Overdue",IF(OR(AND($I188&lt;&gt;"",N($I188)&lt;=IFERROR(INDEX('Intervals'!$E$4:$E$33,MATCH($B188,'Intervals'!$A$4:$A$33,0)),500)),AND($J188&lt;&gt;"",N($J188)&lt;=IFERROR(INDEX('Intervals'!$F$4:$F$33,MATCH($B188,'Intervals'!$A$4:$A$33,0)),14))),"Due soon","OK")))</f>
        <v/>
      </c>
      <c r="N188" s="15" t="n"/>
      <c r="O188" s="22">
        <f>IF(OR($M188="",$M188="OK"),"",$L188+ROW()/100000)</f>
        <v/>
      </c>
    </row>
    <row r="189">
      <c r="A189" s="15" t="n"/>
      <c r="B189" s="15" t="n"/>
      <c r="C189" s="16">
        <f>IF($B189="","",IFERROR(INDEX('Intervals'!$B$4:$B$33,MATCH($B189,'Intervals'!$A$4:$A$33,0)),""))</f>
        <v/>
      </c>
      <c r="D189" s="17" t="n"/>
      <c r="E189" s="18" t="n"/>
      <c r="F189" s="19">
        <f>IF(OR($B189="",$E189=""),"",IFERROR(IF(AND(INDEX('Intervals'!$G$4:$G$33,MATCH($B189,'Intervals'!$A$4:$A$33,0))&lt;&gt;"No",N(INDEX('Intervals'!$C$4:$C$33,MATCH($B189,'Intervals'!$A$4:$A$33,0)))&gt;0),$E189+N(INDEX('Intervals'!$C$4:$C$33,MATCH($B189,'Intervals'!$A$4:$A$33,0))),""),""))</f>
        <v/>
      </c>
      <c r="G189" s="20">
        <f>IF(OR($B189="",$D189=""),"",IFERROR(IF(AND(INDEX('Intervals'!$G$4:$G$33,MATCH($B189,'Intervals'!$A$4:$A$33,0))&lt;&gt;"No",N(INDEX('Intervals'!$D$4:$D$33,MATCH($B189,'Intervals'!$A$4:$A$33,0)))&gt;0),EDATE($D189,N(INDEX('Intervals'!$D$4:$D$33,MATCH($B189,'Intervals'!$A$4:$A$33,0)))),""),""))</f>
        <v/>
      </c>
      <c r="H189" s="19">
        <f>IF($A189="","",IFERROR(IF(N(INDEX('Cars'!$H$4:$H$103,MATCH($A189,'Cars'!$A$4:$A$103,0)))&gt;0,INDEX('Cars'!$H$4:$H$103,MATCH($A189,'Cars'!$A$4:$A$103,0)),""),""))</f>
        <v/>
      </c>
      <c r="I189" s="19">
        <f>IF(OR($F189="",$H189=""),"",$F189-$H189)</f>
        <v/>
      </c>
      <c r="J189" s="21">
        <f>IF($G189="","",$G189-TODAY())</f>
        <v/>
      </c>
      <c r="K189" s="21">
        <f>IF($I189="","",IFERROR(IF(N(INDEX('Cars'!$J$4:$J$103,MATCH($A189,'Cars'!$A$4:$A$103,0)))&gt;0,ROUND($I189/INDEX('Cars'!$J$4:$J$103,MATCH($A189,'Cars'!$A$4:$A$103,0))*30,0),""),""))</f>
        <v/>
      </c>
      <c r="L189" s="21">
        <f>IF(AND($J189="",$K189=""),"",MIN(IF($J189="",99999,$J189),IF($K189="",99999,$K189)))</f>
        <v/>
      </c>
      <c r="M189" s="16">
        <f>IF(AND($I189="",$J189=""),"",IF(OR(AND($I189&lt;&gt;"",N($I189)&lt;0),AND($J189&lt;&gt;"",N($J189)&lt;0)),"Overdue",IF(OR(AND($I189&lt;&gt;"",N($I189)&lt;=IFERROR(INDEX('Intervals'!$E$4:$E$33,MATCH($B189,'Intervals'!$A$4:$A$33,0)),500)),AND($J189&lt;&gt;"",N($J189)&lt;=IFERROR(INDEX('Intervals'!$F$4:$F$33,MATCH($B189,'Intervals'!$A$4:$A$33,0)),14))),"Due soon","OK")))</f>
        <v/>
      </c>
      <c r="N189" s="15" t="n"/>
      <c r="O189" s="22">
        <f>IF(OR($M189="",$M189="OK"),"",$L189+ROW()/100000)</f>
        <v/>
      </c>
    </row>
    <row r="190">
      <c r="A190" s="15" t="n"/>
      <c r="B190" s="15" t="n"/>
      <c r="C190" s="16">
        <f>IF($B190="","",IFERROR(INDEX('Intervals'!$B$4:$B$33,MATCH($B190,'Intervals'!$A$4:$A$33,0)),""))</f>
        <v/>
      </c>
      <c r="D190" s="17" t="n"/>
      <c r="E190" s="18" t="n"/>
      <c r="F190" s="19">
        <f>IF(OR($B190="",$E190=""),"",IFERROR(IF(AND(INDEX('Intervals'!$G$4:$G$33,MATCH($B190,'Intervals'!$A$4:$A$33,0))&lt;&gt;"No",N(INDEX('Intervals'!$C$4:$C$33,MATCH($B190,'Intervals'!$A$4:$A$33,0)))&gt;0),$E190+N(INDEX('Intervals'!$C$4:$C$33,MATCH($B190,'Intervals'!$A$4:$A$33,0))),""),""))</f>
        <v/>
      </c>
      <c r="G190" s="20">
        <f>IF(OR($B190="",$D190=""),"",IFERROR(IF(AND(INDEX('Intervals'!$G$4:$G$33,MATCH($B190,'Intervals'!$A$4:$A$33,0))&lt;&gt;"No",N(INDEX('Intervals'!$D$4:$D$33,MATCH($B190,'Intervals'!$A$4:$A$33,0)))&gt;0),EDATE($D190,N(INDEX('Intervals'!$D$4:$D$33,MATCH($B190,'Intervals'!$A$4:$A$33,0)))),""),""))</f>
        <v/>
      </c>
      <c r="H190" s="19">
        <f>IF($A190="","",IFERROR(IF(N(INDEX('Cars'!$H$4:$H$103,MATCH($A190,'Cars'!$A$4:$A$103,0)))&gt;0,INDEX('Cars'!$H$4:$H$103,MATCH($A190,'Cars'!$A$4:$A$103,0)),""),""))</f>
        <v/>
      </c>
      <c r="I190" s="19">
        <f>IF(OR($F190="",$H190=""),"",$F190-$H190)</f>
        <v/>
      </c>
      <c r="J190" s="21">
        <f>IF($G190="","",$G190-TODAY())</f>
        <v/>
      </c>
      <c r="K190" s="21">
        <f>IF($I190="","",IFERROR(IF(N(INDEX('Cars'!$J$4:$J$103,MATCH($A190,'Cars'!$A$4:$A$103,0)))&gt;0,ROUND($I190/INDEX('Cars'!$J$4:$J$103,MATCH($A190,'Cars'!$A$4:$A$103,0))*30,0),""),""))</f>
        <v/>
      </c>
      <c r="L190" s="21">
        <f>IF(AND($J190="",$K190=""),"",MIN(IF($J190="",99999,$J190),IF($K190="",99999,$K190)))</f>
        <v/>
      </c>
      <c r="M190" s="16">
        <f>IF(AND($I190="",$J190=""),"",IF(OR(AND($I190&lt;&gt;"",N($I190)&lt;0),AND($J190&lt;&gt;"",N($J190)&lt;0)),"Overdue",IF(OR(AND($I190&lt;&gt;"",N($I190)&lt;=IFERROR(INDEX('Intervals'!$E$4:$E$33,MATCH($B190,'Intervals'!$A$4:$A$33,0)),500)),AND($J190&lt;&gt;"",N($J190)&lt;=IFERROR(INDEX('Intervals'!$F$4:$F$33,MATCH($B190,'Intervals'!$A$4:$A$33,0)),14))),"Due soon","OK")))</f>
        <v/>
      </c>
      <c r="N190" s="15" t="n"/>
      <c r="O190" s="22">
        <f>IF(OR($M190="",$M190="OK"),"",$L190+ROW()/100000)</f>
        <v/>
      </c>
    </row>
    <row r="191">
      <c r="A191" s="15" t="n"/>
      <c r="B191" s="15" t="n"/>
      <c r="C191" s="16">
        <f>IF($B191="","",IFERROR(INDEX('Intervals'!$B$4:$B$33,MATCH($B191,'Intervals'!$A$4:$A$33,0)),""))</f>
        <v/>
      </c>
      <c r="D191" s="17" t="n"/>
      <c r="E191" s="18" t="n"/>
      <c r="F191" s="19">
        <f>IF(OR($B191="",$E191=""),"",IFERROR(IF(AND(INDEX('Intervals'!$G$4:$G$33,MATCH($B191,'Intervals'!$A$4:$A$33,0))&lt;&gt;"No",N(INDEX('Intervals'!$C$4:$C$33,MATCH($B191,'Intervals'!$A$4:$A$33,0)))&gt;0),$E191+N(INDEX('Intervals'!$C$4:$C$33,MATCH($B191,'Intervals'!$A$4:$A$33,0))),""),""))</f>
        <v/>
      </c>
      <c r="G191" s="20">
        <f>IF(OR($B191="",$D191=""),"",IFERROR(IF(AND(INDEX('Intervals'!$G$4:$G$33,MATCH($B191,'Intervals'!$A$4:$A$33,0))&lt;&gt;"No",N(INDEX('Intervals'!$D$4:$D$33,MATCH($B191,'Intervals'!$A$4:$A$33,0)))&gt;0),EDATE($D191,N(INDEX('Intervals'!$D$4:$D$33,MATCH($B191,'Intervals'!$A$4:$A$33,0)))),""),""))</f>
        <v/>
      </c>
      <c r="H191" s="19">
        <f>IF($A191="","",IFERROR(IF(N(INDEX('Cars'!$H$4:$H$103,MATCH($A191,'Cars'!$A$4:$A$103,0)))&gt;0,INDEX('Cars'!$H$4:$H$103,MATCH($A191,'Cars'!$A$4:$A$103,0)),""),""))</f>
        <v/>
      </c>
      <c r="I191" s="19">
        <f>IF(OR($F191="",$H191=""),"",$F191-$H191)</f>
        <v/>
      </c>
      <c r="J191" s="21">
        <f>IF($G191="","",$G191-TODAY())</f>
        <v/>
      </c>
      <c r="K191" s="21">
        <f>IF($I191="","",IFERROR(IF(N(INDEX('Cars'!$J$4:$J$103,MATCH($A191,'Cars'!$A$4:$A$103,0)))&gt;0,ROUND($I191/INDEX('Cars'!$J$4:$J$103,MATCH($A191,'Cars'!$A$4:$A$103,0))*30,0),""),""))</f>
        <v/>
      </c>
      <c r="L191" s="21">
        <f>IF(AND($J191="",$K191=""),"",MIN(IF($J191="",99999,$J191),IF($K191="",99999,$K191)))</f>
        <v/>
      </c>
      <c r="M191" s="16">
        <f>IF(AND($I191="",$J191=""),"",IF(OR(AND($I191&lt;&gt;"",N($I191)&lt;0),AND($J191&lt;&gt;"",N($J191)&lt;0)),"Overdue",IF(OR(AND($I191&lt;&gt;"",N($I191)&lt;=IFERROR(INDEX('Intervals'!$E$4:$E$33,MATCH($B191,'Intervals'!$A$4:$A$33,0)),500)),AND($J191&lt;&gt;"",N($J191)&lt;=IFERROR(INDEX('Intervals'!$F$4:$F$33,MATCH($B191,'Intervals'!$A$4:$A$33,0)),14))),"Due soon","OK")))</f>
        <v/>
      </c>
      <c r="N191" s="15" t="n"/>
      <c r="O191" s="22">
        <f>IF(OR($M191="",$M191="OK"),"",$L191+ROW()/100000)</f>
        <v/>
      </c>
    </row>
    <row r="192">
      <c r="A192" s="15" t="n"/>
      <c r="B192" s="15" t="n"/>
      <c r="C192" s="16">
        <f>IF($B192="","",IFERROR(INDEX('Intervals'!$B$4:$B$33,MATCH($B192,'Intervals'!$A$4:$A$33,0)),""))</f>
        <v/>
      </c>
      <c r="D192" s="17" t="n"/>
      <c r="E192" s="18" t="n"/>
      <c r="F192" s="19">
        <f>IF(OR($B192="",$E192=""),"",IFERROR(IF(AND(INDEX('Intervals'!$G$4:$G$33,MATCH($B192,'Intervals'!$A$4:$A$33,0))&lt;&gt;"No",N(INDEX('Intervals'!$C$4:$C$33,MATCH($B192,'Intervals'!$A$4:$A$33,0)))&gt;0),$E192+N(INDEX('Intervals'!$C$4:$C$33,MATCH($B192,'Intervals'!$A$4:$A$33,0))),""),""))</f>
        <v/>
      </c>
      <c r="G192" s="20">
        <f>IF(OR($B192="",$D192=""),"",IFERROR(IF(AND(INDEX('Intervals'!$G$4:$G$33,MATCH($B192,'Intervals'!$A$4:$A$33,0))&lt;&gt;"No",N(INDEX('Intervals'!$D$4:$D$33,MATCH($B192,'Intervals'!$A$4:$A$33,0)))&gt;0),EDATE($D192,N(INDEX('Intervals'!$D$4:$D$33,MATCH($B192,'Intervals'!$A$4:$A$33,0)))),""),""))</f>
        <v/>
      </c>
      <c r="H192" s="19">
        <f>IF($A192="","",IFERROR(IF(N(INDEX('Cars'!$H$4:$H$103,MATCH($A192,'Cars'!$A$4:$A$103,0)))&gt;0,INDEX('Cars'!$H$4:$H$103,MATCH($A192,'Cars'!$A$4:$A$103,0)),""),""))</f>
        <v/>
      </c>
      <c r="I192" s="19">
        <f>IF(OR($F192="",$H192=""),"",$F192-$H192)</f>
        <v/>
      </c>
      <c r="J192" s="21">
        <f>IF($G192="","",$G192-TODAY())</f>
        <v/>
      </c>
      <c r="K192" s="21">
        <f>IF($I192="","",IFERROR(IF(N(INDEX('Cars'!$J$4:$J$103,MATCH($A192,'Cars'!$A$4:$A$103,0)))&gt;0,ROUND($I192/INDEX('Cars'!$J$4:$J$103,MATCH($A192,'Cars'!$A$4:$A$103,0))*30,0),""),""))</f>
        <v/>
      </c>
      <c r="L192" s="21">
        <f>IF(AND($J192="",$K192=""),"",MIN(IF($J192="",99999,$J192),IF($K192="",99999,$K192)))</f>
        <v/>
      </c>
      <c r="M192" s="16">
        <f>IF(AND($I192="",$J192=""),"",IF(OR(AND($I192&lt;&gt;"",N($I192)&lt;0),AND($J192&lt;&gt;"",N($J192)&lt;0)),"Overdue",IF(OR(AND($I192&lt;&gt;"",N($I192)&lt;=IFERROR(INDEX('Intervals'!$E$4:$E$33,MATCH($B192,'Intervals'!$A$4:$A$33,0)),500)),AND($J192&lt;&gt;"",N($J192)&lt;=IFERROR(INDEX('Intervals'!$F$4:$F$33,MATCH($B192,'Intervals'!$A$4:$A$33,0)),14))),"Due soon","OK")))</f>
        <v/>
      </c>
      <c r="N192" s="15" t="n"/>
      <c r="O192" s="22">
        <f>IF(OR($M192="",$M192="OK"),"",$L192+ROW()/100000)</f>
        <v/>
      </c>
    </row>
    <row r="193">
      <c r="A193" s="15" t="n"/>
      <c r="B193" s="15" t="n"/>
      <c r="C193" s="16">
        <f>IF($B193="","",IFERROR(INDEX('Intervals'!$B$4:$B$33,MATCH($B193,'Intervals'!$A$4:$A$33,0)),""))</f>
        <v/>
      </c>
      <c r="D193" s="17" t="n"/>
      <c r="E193" s="18" t="n"/>
      <c r="F193" s="19">
        <f>IF(OR($B193="",$E193=""),"",IFERROR(IF(AND(INDEX('Intervals'!$G$4:$G$33,MATCH($B193,'Intervals'!$A$4:$A$33,0))&lt;&gt;"No",N(INDEX('Intervals'!$C$4:$C$33,MATCH($B193,'Intervals'!$A$4:$A$33,0)))&gt;0),$E193+N(INDEX('Intervals'!$C$4:$C$33,MATCH($B193,'Intervals'!$A$4:$A$33,0))),""),""))</f>
        <v/>
      </c>
      <c r="G193" s="20">
        <f>IF(OR($B193="",$D193=""),"",IFERROR(IF(AND(INDEX('Intervals'!$G$4:$G$33,MATCH($B193,'Intervals'!$A$4:$A$33,0))&lt;&gt;"No",N(INDEX('Intervals'!$D$4:$D$33,MATCH($B193,'Intervals'!$A$4:$A$33,0)))&gt;0),EDATE($D193,N(INDEX('Intervals'!$D$4:$D$33,MATCH($B193,'Intervals'!$A$4:$A$33,0)))),""),""))</f>
        <v/>
      </c>
      <c r="H193" s="19">
        <f>IF($A193="","",IFERROR(IF(N(INDEX('Cars'!$H$4:$H$103,MATCH($A193,'Cars'!$A$4:$A$103,0)))&gt;0,INDEX('Cars'!$H$4:$H$103,MATCH($A193,'Cars'!$A$4:$A$103,0)),""),""))</f>
        <v/>
      </c>
      <c r="I193" s="19">
        <f>IF(OR($F193="",$H193=""),"",$F193-$H193)</f>
        <v/>
      </c>
      <c r="J193" s="21">
        <f>IF($G193="","",$G193-TODAY())</f>
        <v/>
      </c>
      <c r="K193" s="21">
        <f>IF($I193="","",IFERROR(IF(N(INDEX('Cars'!$J$4:$J$103,MATCH($A193,'Cars'!$A$4:$A$103,0)))&gt;0,ROUND($I193/INDEX('Cars'!$J$4:$J$103,MATCH($A193,'Cars'!$A$4:$A$103,0))*30,0),""),""))</f>
        <v/>
      </c>
      <c r="L193" s="21">
        <f>IF(AND($J193="",$K193=""),"",MIN(IF($J193="",99999,$J193),IF($K193="",99999,$K193)))</f>
        <v/>
      </c>
      <c r="M193" s="16">
        <f>IF(AND($I193="",$J193=""),"",IF(OR(AND($I193&lt;&gt;"",N($I193)&lt;0),AND($J193&lt;&gt;"",N($J193)&lt;0)),"Overdue",IF(OR(AND($I193&lt;&gt;"",N($I193)&lt;=IFERROR(INDEX('Intervals'!$E$4:$E$33,MATCH($B193,'Intervals'!$A$4:$A$33,0)),500)),AND($J193&lt;&gt;"",N($J193)&lt;=IFERROR(INDEX('Intervals'!$F$4:$F$33,MATCH($B193,'Intervals'!$A$4:$A$33,0)),14))),"Due soon","OK")))</f>
        <v/>
      </c>
      <c r="N193" s="15" t="n"/>
      <c r="O193" s="22">
        <f>IF(OR($M193="",$M193="OK"),"",$L193+ROW()/100000)</f>
        <v/>
      </c>
    </row>
    <row r="194">
      <c r="A194" s="15" t="n"/>
      <c r="B194" s="15" t="n"/>
      <c r="C194" s="16">
        <f>IF($B194="","",IFERROR(INDEX('Intervals'!$B$4:$B$33,MATCH($B194,'Intervals'!$A$4:$A$33,0)),""))</f>
        <v/>
      </c>
      <c r="D194" s="17" t="n"/>
      <c r="E194" s="18" t="n"/>
      <c r="F194" s="19">
        <f>IF(OR($B194="",$E194=""),"",IFERROR(IF(AND(INDEX('Intervals'!$G$4:$G$33,MATCH($B194,'Intervals'!$A$4:$A$33,0))&lt;&gt;"No",N(INDEX('Intervals'!$C$4:$C$33,MATCH($B194,'Intervals'!$A$4:$A$33,0)))&gt;0),$E194+N(INDEX('Intervals'!$C$4:$C$33,MATCH($B194,'Intervals'!$A$4:$A$33,0))),""),""))</f>
        <v/>
      </c>
      <c r="G194" s="20">
        <f>IF(OR($B194="",$D194=""),"",IFERROR(IF(AND(INDEX('Intervals'!$G$4:$G$33,MATCH($B194,'Intervals'!$A$4:$A$33,0))&lt;&gt;"No",N(INDEX('Intervals'!$D$4:$D$33,MATCH($B194,'Intervals'!$A$4:$A$33,0)))&gt;0),EDATE($D194,N(INDEX('Intervals'!$D$4:$D$33,MATCH($B194,'Intervals'!$A$4:$A$33,0)))),""),""))</f>
        <v/>
      </c>
      <c r="H194" s="19">
        <f>IF($A194="","",IFERROR(IF(N(INDEX('Cars'!$H$4:$H$103,MATCH($A194,'Cars'!$A$4:$A$103,0)))&gt;0,INDEX('Cars'!$H$4:$H$103,MATCH($A194,'Cars'!$A$4:$A$103,0)),""),""))</f>
        <v/>
      </c>
      <c r="I194" s="19">
        <f>IF(OR($F194="",$H194=""),"",$F194-$H194)</f>
        <v/>
      </c>
      <c r="J194" s="21">
        <f>IF($G194="","",$G194-TODAY())</f>
        <v/>
      </c>
      <c r="K194" s="21">
        <f>IF($I194="","",IFERROR(IF(N(INDEX('Cars'!$J$4:$J$103,MATCH($A194,'Cars'!$A$4:$A$103,0)))&gt;0,ROUND($I194/INDEX('Cars'!$J$4:$J$103,MATCH($A194,'Cars'!$A$4:$A$103,0))*30,0),""),""))</f>
        <v/>
      </c>
      <c r="L194" s="21">
        <f>IF(AND($J194="",$K194=""),"",MIN(IF($J194="",99999,$J194),IF($K194="",99999,$K194)))</f>
        <v/>
      </c>
      <c r="M194" s="16">
        <f>IF(AND($I194="",$J194=""),"",IF(OR(AND($I194&lt;&gt;"",N($I194)&lt;0),AND($J194&lt;&gt;"",N($J194)&lt;0)),"Overdue",IF(OR(AND($I194&lt;&gt;"",N($I194)&lt;=IFERROR(INDEX('Intervals'!$E$4:$E$33,MATCH($B194,'Intervals'!$A$4:$A$33,0)),500)),AND($J194&lt;&gt;"",N($J194)&lt;=IFERROR(INDEX('Intervals'!$F$4:$F$33,MATCH($B194,'Intervals'!$A$4:$A$33,0)),14))),"Due soon","OK")))</f>
        <v/>
      </c>
      <c r="N194" s="15" t="n"/>
      <c r="O194" s="22">
        <f>IF(OR($M194="",$M194="OK"),"",$L194+ROW()/100000)</f>
        <v/>
      </c>
    </row>
    <row r="195">
      <c r="A195" s="15" t="n"/>
      <c r="B195" s="15" t="n"/>
      <c r="C195" s="16">
        <f>IF($B195="","",IFERROR(INDEX('Intervals'!$B$4:$B$33,MATCH($B195,'Intervals'!$A$4:$A$33,0)),""))</f>
        <v/>
      </c>
      <c r="D195" s="17" t="n"/>
      <c r="E195" s="18" t="n"/>
      <c r="F195" s="19">
        <f>IF(OR($B195="",$E195=""),"",IFERROR(IF(AND(INDEX('Intervals'!$G$4:$G$33,MATCH($B195,'Intervals'!$A$4:$A$33,0))&lt;&gt;"No",N(INDEX('Intervals'!$C$4:$C$33,MATCH($B195,'Intervals'!$A$4:$A$33,0)))&gt;0),$E195+N(INDEX('Intervals'!$C$4:$C$33,MATCH($B195,'Intervals'!$A$4:$A$33,0))),""),""))</f>
        <v/>
      </c>
      <c r="G195" s="20">
        <f>IF(OR($B195="",$D195=""),"",IFERROR(IF(AND(INDEX('Intervals'!$G$4:$G$33,MATCH($B195,'Intervals'!$A$4:$A$33,0))&lt;&gt;"No",N(INDEX('Intervals'!$D$4:$D$33,MATCH($B195,'Intervals'!$A$4:$A$33,0)))&gt;0),EDATE($D195,N(INDEX('Intervals'!$D$4:$D$33,MATCH($B195,'Intervals'!$A$4:$A$33,0)))),""),""))</f>
        <v/>
      </c>
      <c r="H195" s="19">
        <f>IF($A195="","",IFERROR(IF(N(INDEX('Cars'!$H$4:$H$103,MATCH($A195,'Cars'!$A$4:$A$103,0)))&gt;0,INDEX('Cars'!$H$4:$H$103,MATCH($A195,'Cars'!$A$4:$A$103,0)),""),""))</f>
        <v/>
      </c>
      <c r="I195" s="19">
        <f>IF(OR($F195="",$H195=""),"",$F195-$H195)</f>
        <v/>
      </c>
      <c r="J195" s="21">
        <f>IF($G195="","",$G195-TODAY())</f>
        <v/>
      </c>
      <c r="K195" s="21">
        <f>IF($I195="","",IFERROR(IF(N(INDEX('Cars'!$J$4:$J$103,MATCH($A195,'Cars'!$A$4:$A$103,0)))&gt;0,ROUND($I195/INDEX('Cars'!$J$4:$J$103,MATCH($A195,'Cars'!$A$4:$A$103,0))*30,0),""),""))</f>
        <v/>
      </c>
      <c r="L195" s="21">
        <f>IF(AND($J195="",$K195=""),"",MIN(IF($J195="",99999,$J195),IF($K195="",99999,$K195)))</f>
        <v/>
      </c>
      <c r="M195" s="16">
        <f>IF(AND($I195="",$J195=""),"",IF(OR(AND($I195&lt;&gt;"",N($I195)&lt;0),AND($J195&lt;&gt;"",N($J195)&lt;0)),"Overdue",IF(OR(AND($I195&lt;&gt;"",N($I195)&lt;=IFERROR(INDEX('Intervals'!$E$4:$E$33,MATCH($B195,'Intervals'!$A$4:$A$33,0)),500)),AND($J195&lt;&gt;"",N($J195)&lt;=IFERROR(INDEX('Intervals'!$F$4:$F$33,MATCH($B195,'Intervals'!$A$4:$A$33,0)),14))),"Due soon","OK")))</f>
        <v/>
      </c>
      <c r="N195" s="15" t="n"/>
      <c r="O195" s="22">
        <f>IF(OR($M195="",$M195="OK"),"",$L195+ROW()/100000)</f>
        <v/>
      </c>
    </row>
    <row r="196">
      <c r="A196" s="15" t="n"/>
      <c r="B196" s="15" t="n"/>
      <c r="C196" s="16">
        <f>IF($B196="","",IFERROR(INDEX('Intervals'!$B$4:$B$33,MATCH($B196,'Intervals'!$A$4:$A$33,0)),""))</f>
        <v/>
      </c>
      <c r="D196" s="17" t="n"/>
      <c r="E196" s="18" t="n"/>
      <c r="F196" s="19">
        <f>IF(OR($B196="",$E196=""),"",IFERROR(IF(AND(INDEX('Intervals'!$G$4:$G$33,MATCH($B196,'Intervals'!$A$4:$A$33,0))&lt;&gt;"No",N(INDEX('Intervals'!$C$4:$C$33,MATCH($B196,'Intervals'!$A$4:$A$33,0)))&gt;0),$E196+N(INDEX('Intervals'!$C$4:$C$33,MATCH($B196,'Intervals'!$A$4:$A$33,0))),""),""))</f>
        <v/>
      </c>
      <c r="G196" s="20">
        <f>IF(OR($B196="",$D196=""),"",IFERROR(IF(AND(INDEX('Intervals'!$G$4:$G$33,MATCH($B196,'Intervals'!$A$4:$A$33,0))&lt;&gt;"No",N(INDEX('Intervals'!$D$4:$D$33,MATCH($B196,'Intervals'!$A$4:$A$33,0)))&gt;0),EDATE($D196,N(INDEX('Intervals'!$D$4:$D$33,MATCH($B196,'Intervals'!$A$4:$A$33,0)))),""),""))</f>
        <v/>
      </c>
      <c r="H196" s="19">
        <f>IF($A196="","",IFERROR(IF(N(INDEX('Cars'!$H$4:$H$103,MATCH($A196,'Cars'!$A$4:$A$103,0)))&gt;0,INDEX('Cars'!$H$4:$H$103,MATCH($A196,'Cars'!$A$4:$A$103,0)),""),""))</f>
        <v/>
      </c>
      <c r="I196" s="19">
        <f>IF(OR($F196="",$H196=""),"",$F196-$H196)</f>
        <v/>
      </c>
      <c r="J196" s="21">
        <f>IF($G196="","",$G196-TODAY())</f>
        <v/>
      </c>
      <c r="K196" s="21">
        <f>IF($I196="","",IFERROR(IF(N(INDEX('Cars'!$J$4:$J$103,MATCH($A196,'Cars'!$A$4:$A$103,0)))&gt;0,ROUND($I196/INDEX('Cars'!$J$4:$J$103,MATCH($A196,'Cars'!$A$4:$A$103,0))*30,0),""),""))</f>
        <v/>
      </c>
      <c r="L196" s="21">
        <f>IF(AND($J196="",$K196=""),"",MIN(IF($J196="",99999,$J196),IF($K196="",99999,$K196)))</f>
        <v/>
      </c>
      <c r="M196" s="16">
        <f>IF(AND($I196="",$J196=""),"",IF(OR(AND($I196&lt;&gt;"",N($I196)&lt;0),AND($J196&lt;&gt;"",N($J196)&lt;0)),"Overdue",IF(OR(AND($I196&lt;&gt;"",N($I196)&lt;=IFERROR(INDEX('Intervals'!$E$4:$E$33,MATCH($B196,'Intervals'!$A$4:$A$33,0)),500)),AND($J196&lt;&gt;"",N($J196)&lt;=IFERROR(INDEX('Intervals'!$F$4:$F$33,MATCH($B196,'Intervals'!$A$4:$A$33,0)),14))),"Due soon","OK")))</f>
        <v/>
      </c>
      <c r="N196" s="15" t="n"/>
      <c r="O196" s="22">
        <f>IF(OR($M196="",$M196="OK"),"",$L196+ROW()/100000)</f>
        <v/>
      </c>
    </row>
    <row r="197">
      <c r="A197" s="15" t="n"/>
      <c r="B197" s="15" t="n"/>
      <c r="C197" s="16">
        <f>IF($B197="","",IFERROR(INDEX('Intervals'!$B$4:$B$33,MATCH($B197,'Intervals'!$A$4:$A$33,0)),""))</f>
        <v/>
      </c>
      <c r="D197" s="17" t="n"/>
      <c r="E197" s="18" t="n"/>
      <c r="F197" s="19">
        <f>IF(OR($B197="",$E197=""),"",IFERROR(IF(AND(INDEX('Intervals'!$G$4:$G$33,MATCH($B197,'Intervals'!$A$4:$A$33,0))&lt;&gt;"No",N(INDEX('Intervals'!$C$4:$C$33,MATCH($B197,'Intervals'!$A$4:$A$33,0)))&gt;0),$E197+N(INDEX('Intervals'!$C$4:$C$33,MATCH($B197,'Intervals'!$A$4:$A$33,0))),""),""))</f>
        <v/>
      </c>
      <c r="G197" s="20">
        <f>IF(OR($B197="",$D197=""),"",IFERROR(IF(AND(INDEX('Intervals'!$G$4:$G$33,MATCH($B197,'Intervals'!$A$4:$A$33,0))&lt;&gt;"No",N(INDEX('Intervals'!$D$4:$D$33,MATCH($B197,'Intervals'!$A$4:$A$33,0)))&gt;0),EDATE($D197,N(INDEX('Intervals'!$D$4:$D$33,MATCH($B197,'Intervals'!$A$4:$A$33,0)))),""),""))</f>
        <v/>
      </c>
      <c r="H197" s="19">
        <f>IF($A197="","",IFERROR(IF(N(INDEX('Cars'!$H$4:$H$103,MATCH($A197,'Cars'!$A$4:$A$103,0)))&gt;0,INDEX('Cars'!$H$4:$H$103,MATCH($A197,'Cars'!$A$4:$A$103,0)),""),""))</f>
        <v/>
      </c>
      <c r="I197" s="19">
        <f>IF(OR($F197="",$H197=""),"",$F197-$H197)</f>
        <v/>
      </c>
      <c r="J197" s="21">
        <f>IF($G197="","",$G197-TODAY())</f>
        <v/>
      </c>
      <c r="K197" s="21">
        <f>IF($I197="","",IFERROR(IF(N(INDEX('Cars'!$J$4:$J$103,MATCH($A197,'Cars'!$A$4:$A$103,0)))&gt;0,ROUND($I197/INDEX('Cars'!$J$4:$J$103,MATCH($A197,'Cars'!$A$4:$A$103,0))*30,0),""),""))</f>
        <v/>
      </c>
      <c r="L197" s="21">
        <f>IF(AND($J197="",$K197=""),"",MIN(IF($J197="",99999,$J197),IF($K197="",99999,$K197)))</f>
        <v/>
      </c>
      <c r="M197" s="16">
        <f>IF(AND($I197="",$J197=""),"",IF(OR(AND($I197&lt;&gt;"",N($I197)&lt;0),AND($J197&lt;&gt;"",N($J197)&lt;0)),"Overdue",IF(OR(AND($I197&lt;&gt;"",N($I197)&lt;=IFERROR(INDEX('Intervals'!$E$4:$E$33,MATCH($B197,'Intervals'!$A$4:$A$33,0)),500)),AND($J197&lt;&gt;"",N($J197)&lt;=IFERROR(INDEX('Intervals'!$F$4:$F$33,MATCH($B197,'Intervals'!$A$4:$A$33,0)),14))),"Due soon","OK")))</f>
        <v/>
      </c>
      <c r="N197" s="15" t="n"/>
      <c r="O197" s="22">
        <f>IF(OR($M197="",$M197="OK"),"",$L197+ROW()/100000)</f>
        <v/>
      </c>
    </row>
    <row r="198">
      <c r="A198" s="15" t="n"/>
      <c r="B198" s="15" t="n"/>
      <c r="C198" s="16">
        <f>IF($B198="","",IFERROR(INDEX('Intervals'!$B$4:$B$33,MATCH($B198,'Intervals'!$A$4:$A$33,0)),""))</f>
        <v/>
      </c>
      <c r="D198" s="17" t="n"/>
      <c r="E198" s="18" t="n"/>
      <c r="F198" s="19">
        <f>IF(OR($B198="",$E198=""),"",IFERROR(IF(AND(INDEX('Intervals'!$G$4:$G$33,MATCH($B198,'Intervals'!$A$4:$A$33,0))&lt;&gt;"No",N(INDEX('Intervals'!$C$4:$C$33,MATCH($B198,'Intervals'!$A$4:$A$33,0)))&gt;0),$E198+N(INDEX('Intervals'!$C$4:$C$33,MATCH($B198,'Intervals'!$A$4:$A$33,0))),""),""))</f>
        <v/>
      </c>
      <c r="G198" s="20">
        <f>IF(OR($B198="",$D198=""),"",IFERROR(IF(AND(INDEX('Intervals'!$G$4:$G$33,MATCH($B198,'Intervals'!$A$4:$A$33,0))&lt;&gt;"No",N(INDEX('Intervals'!$D$4:$D$33,MATCH($B198,'Intervals'!$A$4:$A$33,0)))&gt;0),EDATE($D198,N(INDEX('Intervals'!$D$4:$D$33,MATCH($B198,'Intervals'!$A$4:$A$33,0)))),""),""))</f>
        <v/>
      </c>
      <c r="H198" s="19">
        <f>IF($A198="","",IFERROR(IF(N(INDEX('Cars'!$H$4:$H$103,MATCH($A198,'Cars'!$A$4:$A$103,0)))&gt;0,INDEX('Cars'!$H$4:$H$103,MATCH($A198,'Cars'!$A$4:$A$103,0)),""),""))</f>
        <v/>
      </c>
      <c r="I198" s="19">
        <f>IF(OR($F198="",$H198=""),"",$F198-$H198)</f>
        <v/>
      </c>
      <c r="J198" s="21">
        <f>IF($G198="","",$G198-TODAY())</f>
        <v/>
      </c>
      <c r="K198" s="21">
        <f>IF($I198="","",IFERROR(IF(N(INDEX('Cars'!$J$4:$J$103,MATCH($A198,'Cars'!$A$4:$A$103,0)))&gt;0,ROUND($I198/INDEX('Cars'!$J$4:$J$103,MATCH($A198,'Cars'!$A$4:$A$103,0))*30,0),""),""))</f>
        <v/>
      </c>
      <c r="L198" s="21">
        <f>IF(AND($J198="",$K198=""),"",MIN(IF($J198="",99999,$J198),IF($K198="",99999,$K198)))</f>
        <v/>
      </c>
      <c r="M198" s="16">
        <f>IF(AND($I198="",$J198=""),"",IF(OR(AND($I198&lt;&gt;"",N($I198)&lt;0),AND($J198&lt;&gt;"",N($J198)&lt;0)),"Overdue",IF(OR(AND($I198&lt;&gt;"",N($I198)&lt;=IFERROR(INDEX('Intervals'!$E$4:$E$33,MATCH($B198,'Intervals'!$A$4:$A$33,0)),500)),AND($J198&lt;&gt;"",N($J198)&lt;=IFERROR(INDEX('Intervals'!$F$4:$F$33,MATCH($B198,'Intervals'!$A$4:$A$33,0)),14))),"Due soon","OK")))</f>
        <v/>
      </c>
      <c r="N198" s="15" t="n"/>
      <c r="O198" s="22">
        <f>IF(OR($M198="",$M198="OK"),"",$L198+ROW()/100000)</f>
        <v/>
      </c>
    </row>
    <row r="199">
      <c r="A199" s="15" t="n"/>
      <c r="B199" s="15" t="n"/>
      <c r="C199" s="16">
        <f>IF($B199="","",IFERROR(INDEX('Intervals'!$B$4:$B$33,MATCH($B199,'Intervals'!$A$4:$A$33,0)),""))</f>
        <v/>
      </c>
      <c r="D199" s="17" t="n"/>
      <c r="E199" s="18" t="n"/>
      <c r="F199" s="19">
        <f>IF(OR($B199="",$E199=""),"",IFERROR(IF(AND(INDEX('Intervals'!$G$4:$G$33,MATCH($B199,'Intervals'!$A$4:$A$33,0))&lt;&gt;"No",N(INDEX('Intervals'!$C$4:$C$33,MATCH($B199,'Intervals'!$A$4:$A$33,0)))&gt;0),$E199+N(INDEX('Intervals'!$C$4:$C$33,MATCH($B199,'Intervals'!$A$4:$A$33,0))),""),""))</f>
        <v/>
      </c>
      <c r="G199" s="20">
        <f>IF(OR($B199="",$D199=""),"",IFERROR(IF(AND(INDEX('Intervals'!$G$4:$G$33,MATCH($B199,'Intervals'!$A$4:$A$33,0))&lt;&gt;"No",N(INDEX('Intervals'!$D$4:$D$33,MATCH($B199,'Intervals'!$A$4:$A$33,0)))&gt;0),EDATE($D199,N(INDEX('Intervals'!$D$4:$D$33,MATCH($B199,'Intervals'!$A$4:$A$33,0)))),""),""))</f>
        <v/>
      </c>
      <c r="H199" s="19">
        <f>IF($A199="","",IFERROR(IF(N(INDEX('Cars'!$H$4:$H$103,MATCH($A199,'Cars'!$A$4:$A$103,0)))&gt;0,INDEX('Cars'!$H$4:$H$103,MATCH($A199,'Cars'!$A$4:$A$103,0)),""),""))</f>
        <v/>
      </c>
      <c r="I199" s="19">
        <f>IF(OR($F199="",$H199=""),"",$F199-$H199)</f>
        <v/>
      </c>
      <c r="J199" s="21">
        <f>IF($G199="","",$G199-TODAY())</f>
        <v/>
      </c>
      <c r="K199" s="21">
        <f>IF($I199="","",IFERROR(IF(N(INDEX('Cars'!$J$4:$J$103,MATCH($A199,'Cars'!$A$4:$A$103,0)))&gt;0,ROUND($I199/INDEX('Cars'!$J$4:$J$103,MATCH($A199,'Cars'!$A$4:$A$103,0))*30,0),""),""))</f>
        <v/>
      </c>
      <c r="L199" s="21">
        <f>IF(AND($J199="",$K199=""),"",MIN(IF($J199="",99999,$J199),IF($K199="",99999,$K199)))</f>
        <v/>
      </c>
      <c r="M199" s="16">
        <f>IF(AND($I199="",$J199=""),"",IF(OR(AND($I199&lt;&gt;"",N($I199)&lt;0),AND($J199&lt;&gt;"",N($J199)&lt;0)),"Overdue",IF(OR(AND($I199&lt;&gt;"",N($I199)&lt;=IFERROR(INDEX('Intervals'!$E$4:$E$33,MATCH($B199,'Intervals'!$A$4:$A$33,0)),500)),AND($J199&lt;&gt;"",N($J199)&lt;=IFERROR(INDEX('Intervals'!$F$4:$F$33,MATCH($B199,'Intervals'!$A$4:$A$33,0)),14))),"Due soon","OK")))</f>
        <v/>
      </c>
      <c r="N199" s="15" t="n"/>
      <c r="O199" s="22">
        <f>IF(OR($M199="",$M199="OK"),"",$L199+ROW()/100000)</f>
        <v/>
      </c>
    </row>
    <row r="200">
      <c r="A200" s="15" t="n"/>
      <c r="B200" s="15" t="n"/>
      <c r="C200" s="16">
        <f>IF($B200="","",IFERROR(INDEX('Intervals'!$B$4:$B$33,MATCH($B200,'Intervals'!$A$4:$A$33,0)),""))</f>
        <v/>
      </c>
      <c r="D200" s="17" t="n"/>
      <c r="E200" s="18" t="n"/>
      <c r="F200" s="19">
        <f>IF(OR($B200="",$E200=""),"",IFERROR(IF(AND(INDEX('Intervals'!$G$4:$G$33,MATCH($B200,'Intervals'!$A$4:$A$33,0))&lt;&gt;"No",N(INDEX('Intervals'!$C$4:$C$33,MATCH($B200,'Intervals'!$A$4:$A$33,0)))&gt;0),$E200+N(INDEX('Intervals'!$C$4:$C$33,MATCH($B200,'Intervals'!$A$4:$A$33,0))),""),""))</f>
        <v/>
      </c>
      <c r="G200" s="20">
        <f>IF(OR($B200="",$D200=""),"",IFERROR(IF(AND(INDEX('Intervals'!$G$4:$G$33,MATCH($B200,'Intervals'!$A$4:$A$33,0))&lt;&gt;"No",N(INDEX('Intervals'!$D$4:$D$33,MATCH($B200,'Intervals'!$A$4:$A$33,0)))&gt;0),EDATE($D200,N(INDEX('Intervals'!$D$4:$D$33,MATCH($B200,'Intervals'!$A$4:$A$33,0)))),""),""))</f>
        <v/>
      </c>
      <c r="H200" s="19">
        <f>IF($A200="","",IFERROR(IF(N(INDEX('Cars'!$H$4:$H$103,MATCH($A200,'Cars'!$A$4:$A$103,0)))&gt;0,INDEX('Cars'!$H$4:$H$103,MATCH($A200,'Cars'!$A$4:$A$103,0)),""),""))</f>
        <v/>
      </c>
      <c r="I200" s="19">
        <f>IF(OR($F200="",$H200=""),"",$F200-$H200)</f>
        <v/>
      </c>
      <c r="J200" s="21">
        <f>IF($G200="","",$G200-TODAY())</f>
        <v/>
      </c>
      <c r="K200" s="21">
        <f>IF($I200="","",IFERROR(IF(N(INDEX('Cars'!$J$4:$J$103,MATCH($A200,'Cars'!$A$4:$A$103,0)))&gt;0,ROUND($I200/INDEX('Cars'!$J$4:$J$103,MATCH($A200,'Cars'!$A$4:$A$103,0))*30,0),""),""))</f>
        <v/>
      </c>
      <c r="L200" s="21">
        <f>IF(AND($J200="",$K200=""),"",MIN(IF($J200="",99999,$J200),IF($K200="",99999,$K200)))</f>
        <v/>
      </c>
      <c r="M200" s="16">
        <f>IF(AND($I200="",$J200=""),"",IF(OR(AND($I200&lt;&gt;"",N($I200)&lt;0),AND($J200&lt;&gt;"",N($J200)&lt;0)),"Overdue",IF(OR(AND($I200&lt;&gt;"",N($I200)&lt;=IFERROR(INDEX('Intervals'!$E$4:$E$33,MATCH($B200,'Intervals'!$A$4:$A$33,0)),500)),AND($J200&lt;&gt;"",N($J200)&lt;=IFERROR(INDEX('Intervals'!$F$4:$F$33,MATCH($B200,'Intervals'!$A$4:$A$33,0)),14))),"Due soon","OK")))</f>
        <v/>
      </c>
      <c r="N200" s="15" t="n"/>
      <c r="O200" s="22">
        <f>IF(OR($M200="",$M200="OK"),"",$L200+ROW()/100000)</f>
        <v/>
      </c>
    </row>
    <row r="201">
      <c r="A201" s="15" t="n"/>
      <c r="B201" s="15" t="n"/>
      <c r="C201" s="16">
        <f>IF($B201="","",IFERROR(INDEX('Intervals'!$B$4:$B$33,MATCH($B201,'Intervals'!$A$4:$A$33,0)),""))</f>
        <v/>
      </c>
      <c r="D201" s="17" t="n"/>
      <c r="E201" s="18" t="n"/>
      <c r="F201" s="19">
        <f>IF(OR($B201="",$E201=""),"",IFERROR(IF(AND(INDEX('Intervals'!$G$4:$G$33,MATCH($B201,'Intervals'!$A$4:$A$33,0))&lt;&gt;"No",N(INDEX('Intervals'!$C$4:$C$33,MATCH($B201,'Intervals'!$A$4:$A$33,0)))&gt;0),$E201+N(INDEX('Intervals'!$C$4:$C$33,MATCH($B201,'Intervals'!$A$4:$A$33,0))),""),""))</f>
        <v/>
      </c>
      <c r="G201" s="20">
        <f>IF(OR($B201="",$D201=""),"",IFERROR(IF(AND(INDEX('Intervals'!$G$4:$G$33,MATCH($B201,'Intervals'!$A$4:$A$33,0))&lt;&gt;"No",N(INDEX('Intervals'!$D$4:$D$33,MATCH($B201,'Intervals'!$A$4:$A$33,0)))&gt;0),EDATE($D201,N(INDEX('Intervals'!$D$4:$D$33,MATCH($B201,'Intervals'!$A$4:$A$33,0)))),""),""))</f>
        <v/>
      </c>
      <c r="H201" s="19">
        <f>IF($A201="","",IFERROR(IF(N(INDEX('Cars'!$H$4:$H$103,MATCH($A201,'Cars'!$A$4:$A$103,0)))&gt;0,INDEX('Cars'!$H$4:$H$103,MATCH($A201,'Cars'!$A$4:$A$103,0)),""),""))</f>
        <v/>
      </c>
      <c r="I201" s="19">
        <f>IF(OR($F201="",$H201=""),"",$F201-$H201)</f>
        <v/>
      </c>
      <c r="J201" s="21">
        <f>IF($G201="","",$G201-TODAY())</f>
        <v/>
      </c>
      <c r="K201" s="21">
        <f>IF($I201="","",IFERROR(IF(N(INDEX('Cars'!$J$4:$J$103,MATCH($A201,'Cars'!$A$4:$A$103,0)))&gt;0,ROUND($I201/INDEX('Cars'!$J$4:$J$103,MATCH($A201,'Cars'!$A$4:$A$103,0))*30,0),""),""))</f>
        <v/>
      </c>
      <c r="L201" s="21">
        <f>IF(AND($J201="",$K201=""),"",MIN(IF($J201="",99999,$J201),IF($K201="",99999,$K201)))</f>
        <v/>
      </c>
      <c r="M201" s="16">
        <f>IF(AND($I201="",$J201=""),"",IF(OR(AND($I201&lt;&gt;"",N($I201)&lt;0),AND($J201&lt;&gt;"",N($J201)&lt;0)),"Overdue",IF(OR(AND($I201&lt;&gt;"",N($I201)&lt;=IFERROR(INDEX('Intervals'!$E$4:$E$33,MATCH($B201,'Intervals'!$A$4:$A$33,0)),500)),AND($J201&lt;&gt;"",N($J201)&lt;=IFERROR(INDEX('Intervals'!$F$4:$F$33,MATCH($B201,'Intervals'!$A$4:$A$33,0)),14))),"Due soon","OK")))</f>
        <v/>
      </c>
      <c r="N201" s="15" t="n"/>
      <c r="O201" s="22">
        <f>IF(OR($M201="",$M201="OK"),"",$L201+ROW()/100000)</f>
        <v/>
      </c>
    </row>
    <row r="202">
      <c r="A202" s="15" t="n"/>
      <c r="B202" s="15" t="n"/>
      <c r="C202" s="16">
        <f>IF($B202="","",IFERROR(INDEX('Intervals'!$B$4:$B$33,MATCH($B202,'Intervals'!$A$4:$A$33,0)),""))</f>
        <v/>
      </c>
      <c r="D202" s="17" t="n"/>
      <c r="E202" s="18" t="n"/>
      <c r="F202" s="19">
        <f>IF(OR($B202="",$E202=""),"",IFERROR(IF(AND(INDEX('Intervals'!$G$4:$G$33,MATCH($B202,'Intervals'!$A$4:$A$33,0))&lt;&gt;"No",N(INDEX('Intervals'!$C$4:$C$33,MATCH($B202,'Intervals'!$A$4:$A$33,0)))&gt;0),$E202+N(INDEX('Intervals'!$C$4:$C$33,MATCH($B202,'Intervals'!$A$4:$A$33,0))),""),""))</f>
        <v/>
      </c>
      <c r="G202" s="20">
        <f>IF(OR($B202="",$D202=""),"",IFERROR(IF(AND(INDEX('Intervals'!$G$4:$G$33,MATCH($B202,'Intervals'!$A$4:$A$33,0))&lt;&gt;"No",N(INDEX('Intervals'!$D$4:$D$33,MATCH($B202,'Intervals'!$A$4:$A$33,0)))&gt;0),EDATE($D202,N(INDEX('Intervals'!$D$4:$D$33,MATCH($B202,'Intervals'!$A$4:$A$33,0)))),""),""))</f>
        <v/>
      </c>
      <c r="H202" s="19">
        <f>IF($A202="","",IFERROR(IF(N(INDEX('Cars'!$H$4:$H$103,MATCH($A202,'Cars'!$A$4:$A$103,0)))&gt;0,INDEX('Cars'!$H$4:$H$103,MATCH($A202,'Cars'!$A$4:$A$103,0)),""),""))</f>
        <v/>
      </c>
      <c r="I202" s="19">
        <f>IF(OR($F202="",$H202=""),"",$F202-$H202)</f>
        <v/>
      </c>
      <c r="J202" s="21">
        <f>IF($G202="","",$G202-TODAY())</f>
        <v/>
      </c>
      <c r="K202" s="21">
        <f>IF($I202="","",IFERROR(IF(N(INDEX('Cars'!$J$4:$J$103,MATCH($A202,'Cars'!$A$4:$A$103,0)))&gt;0,ROUND($I202/INDEX('Cars'!$J$4:$J$103,MATCH($A202,'Cars'!$A$4:$A$103,0))*30,0),""),""))</f>
        <v/>
      </c>
      <c r="L202" s="21">
        <f>IF(AND($J202="",$K202=""),"",MIN(IF($J202="",99999,$J202),IF($K202="",99999,$K202)))</f>
        <v/>
      </c>
      <c r="M202" s="16">
        <f>IF(AND($I202="",$J202=""),"",IF(OR(AND($I202&lt;&gt;"",N($I202)&lt;0),AND($J202&lt;&gt;"",N($J202)&lt;0)),"Overdue",IF(OR(AND($I202&lt;&gt;"",N($I202)&lt;=IFERROR(INDEX('Intervals'!$E$4:$E$33,MATCH($B202,'Intervals'!$A$4:$A$33,0)),500)),AND($J202&lt;&gt;"",N($J202)&lt;=IFERROR(INDEX('Intervals'!$F$4:$F$33,MATCH($B202,'Intervals'!$A$4:$A$33,0)),14))),"Due soon","OK")))</f>
        <v/>
      </c>
      <c r="N202" s="15" t="n"/>
      <c r="O202" s="22">
        <f>IF(OR($M202="",$M202="OK"),"",$L202+ROW()/100000)</f>
        <v/>
      </c>
    </row>
    <row r="203">
      <c r="A203" s="15" t="n"/>
      <c r="B203" s="15" t="n"/>
      <c r="C203" s="16">
        <f>IF($B203="","",IFERROR(INDEX('Intervals'!$B$4:$B$33,MATCH($B203,'Intervals'!$A$4:$A$33,0)),""))</f>
        <v/>
      </c>
      <c r="D203" s="17" t="n"/>
      <c r="E203" s="18" t="n"/>
      <c r="F203" s="19">
        <f>IF(OR($B203="",$E203=""),"",IFERROR(IF(AND(INDEX('Intervals'!$G$4:$G$33,MATCH($B203,'Intervals'!$A$4:$A$33,0))&lt;&gt;"No",N(INDEX('Intervals'!$C$4:$C$33,MATCH($B203,'Intervals'!$A$4:$A$33,0)))&gt;0),$E203+N(INDEX('Intervals'!$C$4:$C$33,MATCH($B203,'Intervals'!$A$4:$A$33,0))),""),""))</f>
        <v/>
      </c>
      <c r="G203" s="20">
        <f>IF(OR($B203="",$D203=""),"",IFERROR(IF(AND(INDEX('Intervals'!$G$4:$G$33,MATCH($B203,'Intervals'!$A$4:$A$33,0))&lt;&gt;"No",N(INDEX('Intervals'!$D$4:$D$33,MATCH($B203,'Intervals'!$A$4:$A$33,0)))&gt;0),EDATE($D203,N(INDEX('Intervals'!$D$4:$D$33,MATCH($B203,'Intervals'!$A$4:$A$33,0)))),""),""))</f>
        <v/>
      </c>
      <c r="H203" s="19">
        <f>IF($A203="","",IFERROR(IF(N(INDEX('Cars'!$H$4:$H$103,MATCH($A203,'Cars'!$A$4:$A$103,0)))&gt;0,INDEX('Cars'!$H$4:$H$103,MATCH($A203,'Cars'!$A$4:$A$103,0)),""),""))</f>
        <v/>
      </c>
      <c r="I203" s="19">
        <f>IF(OR($F203="",$H203=""),"",$F203-$H203)</f>
        <v/>
      </c>
      <c r="J203" s="21">
        <f>IF($G203="","",$G203-TODAY())</f>
        <v/>
      </c>
      <c r="K203" s="21">
        <f>IF($I203="","",IFERROR(IF(N(INDEX('Cars'!$J$4:$J$103,MATCH($A203,'Cars'!$A$4:$A$103,0)))&gt;0,ROUND($I203/INDEX('Cars'!$J$4:$J$103,MATCH($A203,'Cars'!$A$4:$A$103,0))*30,0),""),""))</f>
        <v/>
      </c>
      <c r="L203" s="21">
        <f>IF(AND($J203="",$K203=""),"",MIN(IF($J203="",99999,$J203),IF($K203="",99999,$K203)))</f>
        <v/>
      </c>
      <c r="M203" s="16">
        <f>IF(AND($I203="",$J203=""),"",IF(OR(AND($I203&lt;&gt;"",N($I203)&lt;0),AND($J203&lt;&gt;"",N($J203)&lt;0)),"Overdue",IF(OR(AND($I203&lt;&gt;"",N($I203)&lt;=IFERROR(INDEX('Intervals'!$E$4:$E$33,MATCH($B203,'Intervals'!$A$4:$A$33,0)),500)),AND($J203&lt;&gt;"",N($J203)&lt;=IFERROR(INDEX('Intervals'!$F$4:$F$33,MATCH($B203,'Intervals'!$A$4:$A$33,0)),14))),"Due soon","OK")))</f>
        <v/>
      </c>
      <c r="N203" s="15" t="n"/>
      <c r="O203" s="22">
        <f>IF(OR($M203="",$M203="OK"),"",$L203+ROW()/100000)</f>
        <v/>
      </c>
    </row>
    <row r="204">
      <c r="A204" s="15" t="n"/>
      <c r="B204" s="15" t="n"/>
      <c r="C204" s="16">
        <f>IF($B204="","",IFERROR(INDEX('Intervals'!$B$4:$B$33,MATCH($B204,'Intervals'!$A$4:$A$33,0)),""))</f>
        <v/>
      </c>
      <c r="D204" s="17" t="n"/>
      <c r="E204" s="18" t="n"/>
      <c r="F204" s="19">
        <f>IF(OR($B204="",$E204=""),"",IFERROR(IF(AND(INDEX('Intervals'!$G$4:$G$33,MATCH($B204,'Intervals'!$A$4:$A$33,0))&lt;&gt;"No",N(INDEX('Intervals'!$C$4:$C$33,MATCH($B204,'Intervals'!$A$4:$A$33,0)))&gt;0),$E204+N(INDEX('Intervals'!$C$4:$C$33,MATCH($B204,'Intervals'!$A$4:$A$33,0))),""),""))</f>
        <v/>
      </c>
      <c r="G204" s="20">
        <f>IF(OR($B204="",$D204=""),"",IFERROR(IF(AND(INDEX('Intervals'!$G$4:$G$33,MATCH($B204,'Intervals'!$A$4:$A$33,0))&lt;&gt;"No",N(INDEX('Intervals'!$D$4:$D$33,MATCH($B204,'Intervals'!$A$4:$A$33,0)))&gt;0),EDATE($D204,N(INDEX('Intervals'!$D$4:$D$33,MATCH($B204,'Intervals'!$A$4:$A$33,0)))),""),""))</f>
        <v/>
      </c>
      <c r="H204" s="19">
        <f>IF($A204="","",IFERROR(IF(N(INDEX('Cars'!$H$4:$H$103,MATCH($A204,'Cars'!$A$4:$A$103,0)))&gt;0,INDEX('Cars'!$H$4:$H$103,MATCH($A204,'Cars'!$A$4:$A$103,0)),""),""))</f>
        <v/>
      </c>
      <c r="I204" s="19">
        <f>IF(OR($F204="",$H204=""),"",$F204-$H204)</f>
        <v/>
      </c>
      <c r="J204" s="21">
        <f>IF($G204="","",$G204-TODAY())</f>
        <v/>
      </c>
      <c r="K204" s="21">
        <f>IF($I204="","",IFERROR(IF(N(INDEX('Cars'!$J$4:$J$103,MATCH($A204,'Cars'!$A$4:$A$103,0)))&gt;0,ROUND($I204/INDEX('Cars'!$J$4:$J$103,MATCH($A204,'Cars'!$A$4:$A$103,0))*30,0),""),""))</f>
        <v/>
      </c>
      <c r="L204" s="21">
        <f>IF(AND($J204="",$K204=""),"",MIN(IF($J204="",99999,$J204),IF($K204="",99999,$K204)))</f>
        <v/>
      </c>
      <c r="M204" s="16">
        <f>IF(AND($I204="",$J204=""),"",IF(OR(AND($I204&lt;&gt;"",N($I204)&lt;0),AND($J204&lt;&gt;"",N($J204)&lt;0)),"Overdue",IF(OR(AND($I204&lt;&gt;"",N($I204)&lt;=IFERROR(INDEX('Intervals'!$E$4:$E$33,MATCH($B204,'Intervals'!$A$4:$A$33,0)),500)),AND($J204&lt;&gt;"",N($J204)&lt;=IFERROR(INDEX('Intervals'!$F$4:$F$33,MATCH($B204,'Intervals'!$A$4:$A$33,0)),14))),"Due soon","OK")))</f>
        <v/>
      </c>
      <c r="N204" s="15" t="n"/>
      <c r="O204" s="22">
        <f>IF(OR($M204="",$M204="OK"),"",$L204+ROW()/100000)</f>
        <v/>
      </c>
    </row>
    <row r="205">
      <c r="A205" s="15" t="n"/>
      <c r="B205" s="15" t="n"/>
      <c r="C205" s="16">
        <f>IF($B205="","",IFERROR(INDEX('Intervals'!$B$4:$B$33,MATCH($B205,'Intervals'!$A$4:$A$33,0)),""))</f>
        <v/>
      </c>
      <c r="D205" s="17" t="n"/>
      <c r="E205" s="18" t="n"/>
      <c r="F205" s="19">
        <f>IF(OR($B205="",$E205=""),"",IFERROR(IF(AND(INDEX('Intervals'!$G$4:$G$33,MATCH($B205,'Intervals'!$A$4:$A$33,0))&lt;&gt;"No",N(INDEX('Intervals'!$C$4:$C$33,MATCH($B205,'Intervals'!$A$4:$A$33,0)))&gt;0),$E205+N(INDEX('Intervals'!$C$4:$C$33,MATCH($B205,'Intervals'!$A$4:$A$33,0))),""),""))</f>
        <v/>
      </c>
      <c r="G205" s="20">
        <f>IF(OR($B205="",$D205=""),"",IFERROR(IF(AND(INDEX('Intervals'!$G$4:$G$33,MATCH($B205,'Intervals'!$A$4:$A$33,0))&lt;&gt;"No",N(INDEX('Intervals'!$D$4:$D$33,MATCH($B205,'Intervals'!$A$4:$A$33,0)))&gt;0),EDATE($D205,N(INDEX('Intervals'!$D$4:$D$33,MATCH($B205,'Intervals'!$A$4:$A$33,0)))),""),""))</f>
        <v/>
      </c>
      <c r="H205" s="19">
        <f>IF($A205="","",IFERROR(IF(N(INDEX('Cars'!$H$4:$H$103,MATCH($A205,'Cars'!$A$4:$A$103,0)))&gt;0,INDEX('Cars'!$H$4:$H$103,MATCH($A205,'Cars'!$A$4:$A$103,0)),""),""))</f>
        <v/>
      </c>
      <c r="I205" s="19">
        <f>IF(OR($F205="",$H205=""),"",$F205-$H205)</f>
        <v/>
      </c>
      <c r="J205" s="21">
        <f>IF($G205="","",$G205-TODAY())</f>
        <v/>
      </c>
      <c r="K205" s="21">
        <f>IF($I205="","",IFERROR(IF(N(INDEX('Cars'!$J$4:$J$103,MATCH($A205,'Cars'!$A$4:$A$103,0)))&gt;0,ROUND($I205/INDEX('Cars'!$J$4:$J$103,MATCH($A205,'Cars'!$A$4:$A$103,0))*30,0),""),""))</f>
        <v/>
      </c>
      <c r="L205" s="21">
        <f>IF(AND($J205="",$K205=""),"",MIN(IF($J205="",99999,$J205),IF($K205="",99999,$K205)))</f>
        <v/>
      </c>
      <c r="M205" s="16">
        <f>IF(AND($I205="",$J205=""),"",IF(OR(AND($I205&lt;&gt;"",N($I205)&lt;0),AND($J205&lt;&gt;"",N($J205)&lt;0)),"Overdue",IF(OR(AND($I205&lt;&gt;"",N($I205)&lt;=IFERROR(INDEX('Intervals'!$E$4:$E$33,MATCH($B205,'Intervals'!$A$4:$A$33,0)),500)),AND($J205&lt;&gt;"",N($J205)&lt;=IFERROR(INDEX('Intervals'!$F$4:$F$33,MATCH($B205,'Intervals'!$A$4:$A$33,0)),14))),"Due soon","OK")))</f>
        <v/>
      </c>
      <c r="N205" s="15" t="n"/>
      <c r="O205" s="22">
        <f>IF(OR($M205="",$M205="OK"),"",$L205+ROW()/100000)</f>
        <v/>
      </c>
    </row>
    <row r="206">
      <c r="A206" s="15" t="n"/>
      <c r="B206" s="15" t="n"/>
      <c r="C206" s="16">
        <f>IF($B206="","",IFERROR(INDEX('Intervals'!$B$4:$B$33,MATCH($B206,'Intervals'!$A$4:$A$33,0)),""))</f>
        <v/>
      </c>
      <c r="D206" s="17" t="n"/>
      <c r="E206" s="18" t="n"/>
      <c r="F206" s="19">
        <f>IF(OR($B206="",$E206=""),"",IFERROR(IF(AND(INDEX('Intervals'!$G$4:$G$33,MATCH($B206,'Intervals'!$A$4:$A$33,0))&lt;&gt;"No",N(INDEX('Intervals'!$C$4:$C$33,MATCH($B206,'Intervals'!$A$4:$A$33,0)))&gt;0),$E206+N(INDEX('Intervals'!$C$4:$C$33,MATCH($B206,'Intervals'!$A$4:$A$33,0))),""),""))</f>
        <v/>
      </c>
      <c r="G206" s="20">
        <f>IF(OR($B206="",$D206=""),"",IFERROR(IF(AND(INDEX('Intervals'!$G$4:$G$33,MATCH($B206,'Intervals'!$A$4:$A$33,0))&lt;&gt;"No",N(INDEX('Intervals'!$D$4:$D$33,MATCH($B206,'Intervals'!$A$4:$A$33,0)))&gt;0),EDATE($D206,N(INDEX('Intervals'!$D$4:$D$33,MATCH($B206,'Intervals'!$A$4:$A$33,0)))),""),""))</f>
        <v/>
      </c>
      <c r="H206" s="19">
        <f>IF($A206="","",IFERROR(IF(N(INDEX('Cars'!$H$4:$H$103,MATCH($A206,'Cars'!$A$4:$A$103,0)))&gt;0,INDEX('Cars'!$H$4:$H$103,MATCH($A206,'Cars'!$A$4:$A$103,0)),""),""))</f>
        <v/>
      </c>
      <c r="I206" s="19">
        <f>IF(OR($F206="",$H206=""),"",$F206-$H206)</f>
        <v/>
      </c>
      <c r="J206" s="21">
        <f>IF($G206="","",$G206-TODAY())</f>
        <v/>
      </c>
      <c r="K206" s="21">
        <f>IF($I206="","",IFERROR(IF(N(INDEX('Cars'!$J$4:$J$103,MATCH($A206,'Cars'!$A$4:$A$103,0)))&gt;0,ROUND($I206/INDEX('Cars'!$J$4:$J$103,MATCH($A206,'Cars'!$A$4:$A$103,0))*30,0),""),""))</f>
        <v/>
      </c>
      <c r="L206" s="21">
        <f>IF(AND($J206="",$K206=""),"",MIN(IF($J206="",99999,$J206),IF($K206="",99999,$K206)))</f>
        <v/>
      </c>
      <c r="M206" s="16">
        <f>IF(AND($I206="",$J206=""),"",IF(OR(AND($I206&lt;&gt;"",N($I206)&lt;0),AND($J206&lt;&gt;"",N($J206)&lt;0)),"Overdue",IF(OR(AND($I206&lt;&gt;"",N($I206)&lt;=IFERROR(INDEX('Intervals'!$E$4:$E$33,MATCH($B206,'Intervals'!$A$4:$A$33,0)),500)),AND($J206&lt;&gt;"",N($J206)&lt;=IFERROR(INDEX('Intervals'!$F$4:$F$33,MATCH($B206,'Intervals'!$A$4:$A$33,0)),14))),"Due soon","OK")))</f>
        <v/>
      </c>
      <c r="N206" s="15" t="n"/>
      <c r="O206" s="22">
        <f>IF(OR($M206="",$M206="OK"),"",$L206+ROW()/100000)</f>
        <v/>
      </c>
    </row>
    <row r="207">
      <c r="A207" s="15" t="n"/>
      <c r="B207" s="15" t="n"/>
      <c r="C207" s="16">
        <f>IF($B207="","",IFERROR(INDEX('Intervals'!$B$4:$B$33,MATCH($B207,'Intervals'!$A$4:$A$33,0)),""))</f>
        <v/>
      </c>
      <c r="D207" s="17" t="n"/>
      <c r="E207" s="18" t="n"/>
      <c r="F207" s="19">
        <f>IF(OR($B207="",$E207=""),"",IFERROR(IF(AND(INDEX('Intervals'!$G$4:$G$33,MATCH($B207,'Intervals'!$A$4:$A$33,0))&lt;&gt;"No",N(INDEX('Intervals'!$C$4:$C$33,MATCH($B207,'Intervals'!$A$4:$A$33,0)))&gt;0),$E207+N(INDEX('Intervals'!$C$4:$C$33,MATCH($B207,'Intervals'!$A$4:$A$33,0))),""),""))</f>
        <v/>
      </c>
      <c r="G207" s="20">
        <f>IF(OR($B207="",$D207=""),"",IFERROR(IF(AND(INDEX('Intervals'!$G$4:$G$33,MATCH($B207,'Intervals'!$A$4:$A$33,0))&lt;&gt;"No",N(INDEX('Intervals'!$D$4:$D$33,MATCH($B207,'Intervals'!$A$4:$A$33,0)))&gt;0),EDATE($D207,N(INDEX('Intervals'!$D$4:$D$33,MATCH($B207,'Intervals'!$A$4:$A$33,0)))),""),""))</f>
        <v/>
      </c>
      <c r="H207" s="19">
        <f>IF($A207="","",IFERROR(IF(N(INDEX('Cars'!$H$4:$H$103,MATCH($A207,'Cars'!$A$4:$A$103,0)))&gt;0,INDEX('Cars'!$H$4:$H$103,MATCH($A207,'Cars'!$A$4:$A$103,0)),""),""))</f>
        <v/>
      </c>
      <c r="I207" s="19">
        <f>IF(OR($F207="",$H207=""),"",$F207-$H207)</f>
        <v/>
      </c>
      <c r="J207" s="21">
        <f>IF($G207="","",$G207-TODAY())</f>
        <v/>
      </c>
      <c r="K207" s="21">
        <f>IF($I207="","",IFERROR(IF(N(INDEX('Cars'!$J$4:$J$103,MATCH($A207,'Cars'!$A$4:$A$103,0)))&gt;0,ROUND($I207/INDEX('Cars'!$J$4:$J$103,MATCH($A207,'Cars'!$A$4:$A$103,0))*30,0),""),""))</f>
        <v/>
      </c>
      <c r="L207" s="21">
        <f>IF(AND($J207="",$K207=""),"",MIN(IF($J207="",99999,$J207),IF($K207="",99999,$K207)))</f>
        <v/>
      </c>
      <c r="M207" s="16">
        <f>IF(AND($I207="",$J207=""),"",IF(OR(AND($I207&lt;&gt;"",N($I207)&lt;0),AND($J207&lt;&gt;"",N($J207)&lt;0)),"Overdue",IF(OR(AND($I207&lt;&gt;"",N($I207)&lt;=IFERROR(INDEX('Intervals'!$E$4:$E$33,MATCH($B207,'Intervals'!$A$4:$A$33,0)),500)),AND($J207&lt;&gt;"",N($J207)&lt;=IFERROR(INDEX('Intervals'!$F$4:$F$33,MATCH($B207,'Intervals'!$A$4:$A$33,0)),14))),"Due soon","OK")))</f>
        <v/>
      </c>
      <c r="N207" s="15" t="n"/>
      <c r="O207" s="22">
        <f>IF(OR($M207="",$M207="OK"),"",$L207+ROW()/100000)</f>
        <v/>
      </c>
    </row>
    <row r="208">
      <c r="A208" s="15" t="n"/>
      <c r="B208" s="15" t="n"/>
      <c r="C208" s="16">
        <f>IF($B208="","",IFERROR(INDEX('Intervals'!$B$4:$B$33,MATCH($B208,'Intervals'!$A$4:$A$33,0)),""))</f>
        <v/>
      </c>
      <c r="D208" s="17" t="n"/>
      <c r="E208" s="18" t="n"/>
      <c r="F208" s="19">
        <f>IF(OR($B208="",$E208=""),"",IFERROR(IF(AND(INDEX('Intervals'!$G$4:$G$33,MATCH($B208,'Intervals'!$A$4:$A$33,0))&lt;&gt;"No",N(INDEX('Intervals'!$C$4:$C$33,MATCH($B208,'Intervals'!$A$4:$A$33,0)))&gt;0),$E208+N(INDEX('Intervals'!$C$4:$C$33,MATCH($B208,'Intervals'!$A$4:$A$33,0))),""),""))</f>
        <v/>
      </c>
      <c r="G208" s="20">
        <f>IF(OR($B208="",$D208=""),"",IFERROR(IF(AND(INDEX('Intervals'!$G$4:$G$33,MATCH($B208,'Intervals'!$A$4:$A$33,0))&lt;&gt;"No",N(INDEX('Intervals'!$D$4:$D$33,MATCH($B208,'Intervals'!$A$4:$A$33,0)))&gt;0),EDATE($D208,N(INDEX('Intervals'!$D$4:$D$33,MATCH($B208,'Intervals'!$A$4:$A$33,0)))),""),""))</f>
        <v/>
      </c>
      <c r="H208" s="19">
        <f>IF($A208="","",IFERROR(IF(N(INDEX('Cars'!$H$4:$H$103,MATCH($A208,'Cars'!$A$4:$A$103,0)))&gt;0,INDEX('Cars'!$H$4:$H$103,MATCH($A208,'Cars'!$A$4:$A$103,0)),""),""))</f>
        <v/>
      </c>
      <c r="I208" s="19">
        <f>IF(OR($F208="",$H208=""),"",$F208-$H208)</f>
        <v/>
      </c>
      <c r="J208" s="21">
        <f>IF($G208="","",$G208-TODAY())</f>
        <v/>
      </c>
      <c r="K208" s="21">
        <f>IF($I208="","",IFERROR(IF(N(INDEX('Cars'!$J$4:$J$103,MATCH($A208,'Cars'!$A$4:$A$103,0)))&gt;0,ROUND($I208/INDEX('Cars'!$J$4:$J$103,MATCH($A208,'Cars'!$A$4:$A$103,0))*30,0),""),""))</f>
        <v/>
      </c>
      <c r="L208" s="21">
        <f>IF(AND($J208="",$K208=""),"",MIN(IF($J208="",99999,$J208),IF($K208="",99999,$K208)))</f>
        <v/>
      </c>
      <c r="M208" s="16">
        <f>IF(AND($I208="",$J208=""),"",IF(OR(AND($I208&lt;&gt;"",N($I208)&lt;0),AND($J208&lt;&gt;"",N($J208)&lt;0)),"Overdue",IF(OR(AND($I208&lt;&gt;"",N($I208)&lt;=IFERROR(INDEX('Intervals'!$E$4:$E$33,MATCH($B208,'Intervals'!$A$4:$A$33,0)),500)),AND($J208&lt;&gt;"",N($J208)&lt;=IFERROR(INDEX('Intervals'!$F$4:$F$33,MATCH($B208,'Intervals'!$A$4:$A$33,0)),14))),"Due soon","OK")))</f>
        <v/>
      </c>
      <c r="N208" s="15" t="n"/>
      <c r="O208" s="22">
        <f>IF(OR($M208="",$M208="OK"),"",$L208+ROW()/100000)</f>
        <v/>
      </c>
    </row>
    <row r="209">
      <c r="A209" s="15" t="n"/>
      <c r="B209" s="15" t="n"/>
      <c r="C209" s="16">
        <f>IF($B209="","",IFERROR(INDEX('Intervals'!$B$4:$B$33,MATCH($B209,'Intervals'!$A$4:$A$33,0)),""))</f>
        <v/>
      </c>
      <c r="D209" s="17" t="n"/>
      <c r="E209" s="18" t="n"/>
      <c r="F209" s="19">
        <f>IF(OR($B209="",$E209=""),"",IFERROR(IF(AND(INDEX('Intervals'!$G$4:$G$33,MATCH($B209,'Intervals'!$A$4:$A$33,0))&lt;&gt;"No",N(INDEX('Intervals'!$C$4:$C$33,MATCH($B209,'Intervals'!$A$4:$A$33,0)))&gt;0),$E209+N(INDEX('Intervals'!$C$4:$C$33,MATCH($B209,'Intervals'!$A$4:$A$33,0))),""),""))</f>
        <v/>
      </c>
      <c r="G209" s="20">
        <f>IF(OR($B209="",$D209=""),"",IFERROR(IF(AND(INDEX('Intervals'!$G$4:$G$33,MATCH($B209,'Intervals'!$A$4:$A$33,0))&lt;&gt;"No",N(INDEX('Intervals'!$D$4:$D$33,MATCH($B209,'Intervals'!$A$4:$A$33,0)))&gt;0),EDATE($D209,N(INDEX('Intervals'!$D$4:$D$33,MATCH($B209,'Intervals'!$A$4:$A$33,0)))),""),""))</f>
        <v/>
      </c>
      <c r="H209" s="19">
        <f>IF($A209="","",IFERROR(IF(N(INDEX('Cars'!$H$4:$H$103,MATCH($A209,'Cars'!$A$4:$A$103,0)))&gt;0,INDEX('Cars'!$H$4:$H$103,MATCH($A209,'Cars'!$A$4:$A$103,0)),""),""))</f>
        <v/>
      </c>
      <c r="I209" s="19">
        <f>IF(OR($F209="",$H209=""),"",$F209-$H209)</f>
        <v/>
      </c>
      <c r="J209" s="21">
        <f>IF($G209="","",$G209-TODAY())</f>
        <v/>
      </c>
      <c r="K209" s="21">
        <f>IF($I209="","",IFERROR(IF(N(INDEX('Cars'!$J$4:$J$103,MATCH($A209,'Cars'!$A$4:$A$103,0)))&gt;0,ROUND($I209/INDEX('Cars'!$J$4:$J$103,MATCH($A209,'Cars'!$A$4:$A$103,0))*30,0),""),""))</f>
        <v/>
      </c>
      <c r="L209" s="21">
        <f>IF(AND($J209="",$K209=""),"",MIN(IF($J209="",99999,$J209),IF($K209="",99999,$K209)))</f>
        <v/>
      </c>
      <c r="M209" s="16">
        <f>IF(AND($I209="",$J209=""),"",IF(OR(AND($I209&lt;&gt;"",N($I209)&lt;0),AND($J209&lt;&gt;"",N($J209)&lt;0)),"Overdue",IF(OR(AND($I209&lt;&gt;"",N($I209)&lt;=IFERROR(INDEX('Intervals'!$E$4:$E$33,MATCH($B209,'Intervals'!$A$4:$A$33,0)),500)),AND($J209&lt;&gt;"",N($J209)&lt;=IFERROR(INDEX('Intervals'!$F$4:$F$33,MATCH($B209,'Intervals'!$A$4:$A$33,0)),14))),"Due soon","OK")))</f>
        <v/>
      </c>
      <c r="N209" s="15" t="n"/>
      <c r="O209" s="22">
        <f>IF(OR($M209="",$M209="OK"),"",$L209+ROW()/100000)</f>
        <v/>
      </c>
    </row>
    <row r="210">
      <c r="A210" s="15" t="n"/>
      <c r="B210" s="15" t="n"/>
      <c r="C210" s="16">
        <f>IF($B210="","",IFERROR(INDEX('Intervals'!$B$4:$B$33,MATCH($B210,'Intervals'!$A$4:$A$33,0)),""))</f>
        <v/>
      </c>
      <c r="D210" s="17" t="n"/>
      <c r="E210" s="18" t="n"/>
      <c r="F210" s="19">
        <f>IF(OR($B210="",$E210=""),"",IFERROR(IF(AND(INDEX('Intervals'!$G$4:$G$33,MATCH($B210,'Intervals'!$A$4:$A$33,0))&lt;&gt;"No",N(INDEX('Intervals'!$C$4:$C$33,MATCH($B210,'Intervals'!$A$4:$A$33,0)))&gt;0),$E210+N(INDEX('Intervals'!$C$4:$C$33,MATCH($B210,'Intervals'!$A$4:$A$33,0))),""),""))</f>
        <v/>
      </c>
      <c r="G210" s="20">
        <f>IF(OR($B210="",$D210=""),"",IFERROR(IF(AND(INDEX('Intervals'!$G$4:$G$33,MATCH($B210,'Intervals'!$A$4:$A$33,0))&lt;&gt;"No",N(INDEX('Intervals'!$D$4:$D$33,MATCH($B210,'Intervals'!$A$4:$A$33,0)))&gt;0),EDATE($D210,N(INDEX('Intervals'!$D$4:$D$33,MATCH($B210,'Intervals'!$A$4:$A$33,0)))),""),""))</f>
        <v/>
      </c>
      <c r="H210" s="19">
        <f>IF($A210="","",IFERROR(IF(N(INDEX('Cars'!$H$4:$H$103,MATCH($A210,'Cars'!$A$4:$A$103,0)))&gt;0,INDEX('Cars'!$H$4:$H$103,MATCH($A210,'Cars'!$A$4:$A$103,0)),""),""))</f>
        <v/>
      </c>
      <c r="I210" s="19">
        <f>IF(OR($F210="",$H210=""),"",$F210-$H210)</f>
        <v/>
      </c>
      <c r="J210" s="21">
        <f>IF($G210="","",$G210-TODAY())</f>
        <v/>
      </c>
      <c r="K210" s="21">
        <f>IF($I210="","",IFERROR(IF(N(INDEX('Cars'!$J$4:$J$103,MATCH($A210,'Cars'!$A$4:$A$103,0)))&gt;0,ROUND($I210/INDEX('Cars'!$J$4:$J$103,MATCH($A210,'Cars'!$A$4:$A$103,0))*30,0),""),""))</f>
        <v/>
      </c>
      <c r="L210" s="21">
        <f>IF(AND($J210="",$K210=""),"",MIN(IF($J210="",99999,$J210),IF($K210="",99999,$K210)))</f>
        <v/>
      </c>
      <c r="M210" s="16">
        <f>IF(AND($I210="",$J210=""),"",IF(OR(AND($I210&lt;&gt;"",N($I210)&lt;0),AND($J210&lt;&gt;"",N($J210)&lt;0)),"Overdue",IF(OR(AND($I210&lt;&gt;"",N($I210)&lt;=IFERROR(INDEX('Intervals'!$E$4:$E$33,MATCH($B210,'Intervals'!$A$4:$A$33,0)),500)),AND($J210&lt;&gt;"",N($J210)&lt;=IFERROR(INDEX('Intervals'!$F$4:$F$33,MATCH($B210,'Intervals'!$A$4:$A$33,0)),14))),"Due soon","OK")))</f>
        <v/>
      </c>
      <c r="N210" s="15" t="n"/>
      <c r="O210" s="22">
        <f>IF(OR($M210="",$M210="OK"),"",$L210+ROW()/100000)</f>
        <v/>
      </c>
    </row>
    <row r="211">
      <c r="A211" s="15" t="n"/>
      <c r="B211" s="15" t="n"/>
      <c r="C211" s="16">
        <f>IF($B211="","",IFERROR(INDEX('Intervals'!$B$4:$B$33,MATCH($B211,'Intervals'!$A$4:$A$33,0)),""))</f>
        <v/>
      </c>
      <c r="D211" s="17" t="n"/>
      <c r="E211" s="18" t="n"/>
      <c r="F211" s="19">
        <f>IF(OR($B211="",$E211=""),"",IFERROR(IF(AND(INDEX('Intervals'!$G$4:$G$33,MATCH($B211,'Intervals'!$A$4:$A$33,0))&lt;&gt;"No",N(INDEX('Intervals'!$C$4:$C$33,MATCH($B211,'Intervals'!$A$4:$A$33,0)))&gt;0),$E211+N(INDEX('Intervals'!$C$4:$C$33,MATCH($B211,'Intervals'!$A$4:$A$33,0))),""),""))</f>
        <v/>
      </c>
      <c r="G211" s="20">
        <f>IF(OR($B211="",$D211=""),"",IFERROR(IF(AND(INDEX('Intervals'!$G$4:$G$33,MATCH($B211,'Intervals'!$A$4:$A$33,0))&lt;&gt;"No",N(INDEX('Intervals'!$D$4:$D$33,MATCH($B211,'Intervals'!$A$4:$A$33,0)))&gt;0),EDATE($D211,N(INDEX('Intervals'!$D$4:$D$33,MATCH($B211,'Intervals'!$A$4:$A$33,0)))),""),""))</f>
        <v/>
      </c>
      <c r="H211" s="19">
        <f>IF($A211="","",IFERROR(IF(N(INDEX('Cars'!$H$4:$H$103,MATCH($A211,'Cars'!$A$4:$A$103,0)))&gt;0,INDEX('Cars'!$H$4:$H$103,MATCH($A211,'Cars'!$A$4:$A$103,0)),""),""))</f>
        <v/>
      </c>
      <c r="I211" s="19">
        <f>IF(OR($F211="",$H211=""),"",$F211-$H211)</f>
        <v/>
      </c>
      <c r="J211" s="21">
        <f>IF($G211="","",$G211-TODAY())</f>
        <v/>
      </c>
      <c r="K211" s="21">
        <f>IF($I211="","",IFERROR(IF(N(INDEX('Cars'!$J$4:$J$103,MATCH($A211,'Cars'!$A$4:$A$103,0)))&gt;0,ROUND($I211/INDEX('Cars'!$J$4:$J$103,MATCH($A211,'Cars'!$A$4:$A$103,0))*30,0),""),""))</f>
        <v/>
      </c>
      <c r="L211" s="21">
        <f>IF(AND($J211="",$K211=""),"",MIN(IF($J211="",99999,$J211),IF($K211="",99999,$K211)))</f>
        <v/>
      </c>
      <c r="M211" s="16">
        <f>IF(AND($I211="",$J211=""),"",IF(OR(AND($I211&lt;&gt;"",N($I211)&lt;0),AND($J211&lt;&gt;"",N($J211)&lt;0)),"Overdue",IF(OR(AND($I211&lt;&gt;"",N($I211)&lt;=IFERROR(INDEX('Intervals'!$E$4:$E$33,MATCH($B211,'Intervals'!$A$4:$A$33,0)),500)),AND($J211&lt;&gt;"",N($J211)&lt;=IFERROR(INDEX('Intervals'!$F$4:$F$33,MATCH($B211,'Intervals'!$A$4:$A$33,0)),14))),"Due soon","OK")))</f>
        <v/>
      </c>
      <c r="N211" s="15" t="n"/>
      <c r="O211" s="22">
        <f>IF(OR($M211="",$M211="OK"),"",$L211+ROW()/100000)</f>
        <v/>
      </c>
    </row>
    <row r="212">
      <c r="A212" s="15" t="n"/>
      <c r="B212" s="15" t="n"/>
      <c r="C212" s="16">
        <f>IF($B212="","",IFERROR(INDEX('Intervals'!$B$4:$B$33,MATCH($B212,'Intervals'!$A$4:$A$33,0)),""))</f>
        <v/>
      </c>
      <c r="D212" s="17" t="n"/>
      <c r="E212" s="18" t="n"/>
      <c r="F212" s="19">
        <f>IF(OR($B212="",$E212=""),"",IFERROR(IF(AND(INDEX('Intervals'!$G$4:$G$33,MATCH($B212,'Intervals'!$A$4:$A$33,0))&lt;&gt;"No",N(INDEX('Intervals'!$C$4:$C$33,MATCH($B212,'Intervals'!$A$4:$A$33,0)))&gt;0),$E212+N(INDEX('Intervals'!$C$4:$C$33,MATCH($B212,'Intervals'!$A$4:$A$33,0))),""),""))</f>
        <v/>
      </c>
      <c r="G212" s="20">
        <f>IF(OR($B212="",$D212=""),"",IFERROR(IF(AND(INDEX('Intervals'!$G$4:$G$33,MATCH($B212,'Intervals'!$A$4:$A$33,0))&lt;&gt;"No",N(INDEX('Intervals'!$D$4:$D$33,MATCH($B212,'Intervals'!$A$4:$A$33,0)))&gt;0),EDATE($D212,N(INDEX('Intervals'!$D$4:$D$33,MATCH($B212,'Intervals'!$A$4:$A$33,0)))),""),""))</f>
        <v/>
      </c>
      <c r="H212" s="19">
        <f>IF($A212="","",IFERROR(IF(N(INDEX('Cars'!$H$4:$H$103,MATCH($A212,'Cars'!$A$4:$A$103,0)))&gt;0,INDEX('Cars'!$H$4:$H$103,MATCH($A212,'Cars'!$A$4:$A$103,0)),""),""))</f>
        <v/>
      </c>
      <c r="I212" s="19">
        <f>IF(OR($F212="",$H212=""),"",$F212-$H212)</f>
        <v/>
      </c>
      <c r="J212" s="21">
        <f>IF($G212="","",$G212-TODAY())</f>
        <v/>
      </c>
      <c r="K212" s="21">
        <f>IF($I212="","",IFERROR(IF(N(INDEX('Cars'!$J$4:$J$103,MATCH($A212,'Cars'!$A$4:$A$103,0)))&gt;0,ROUND($I212/INDEX('Cars'!$J$4:$J$103,MATCH($A212,'Cars'!$A$4:$A$103,0))*30,0),""),""))</f>
        <v/>
      </c>
      <c r="L212" s="21">
        <f>IF(AND($J212="",$K212=""),"",MIN(IF($J212="",99999,$J212),IF($K212="",99999,$K212)))</f>
        <v/>
      </c>
      <c r="M212" s="16">
        <f>IF(AND($I212="",$J212=""),"",IF(OR(AND($I212&lt;&gt;"",N($I212)&lt;0),AND($J212&lt;&gt;"",N($J212)&lt;0)),"Overdue",IF(OR(AND($I212&lt;&gt;"",N($I212)&lt;=IFERROR(INDEX('Intervals'!$E$4:$E$33,MATCH($B212,'Intervals'!$A$4:$A$33,0)),500)),AND($J212&lt;&gt;"",N($J212)&lt;=IFERROR(INDEX('Intervals'!$F$4:$F$33,MATCH($B212,'Intervals'!$A$4:$A$33,0)),14))),"Due soon","OK")))</f>
        <v/>
      </c>
      <c r="N212" s="15" t="n"/>
      <c r="O212" s="22">
        <f>IF(OR($M212="",$M212="OK"),"",$L212+ROW()/100000)</f>
        <v/>
      </c>
    </row>
    <row r="213">
      <c r="A213" s="15" t="n"/>
      <c r="B213" s="15" t="n"/>
      <c r="C213" s="16">
        <f>IF($B213="","",IFERROR(INDEX('Intervals'!$B$4:$B$33,MATCH($B213,'Intervals'!$A$4:$A$33,0)),""))</f>
        <v/>
      </c>
      <c r="D213" s="17" t="n"/>
      <c r="E213" s="18" t="n"/>
      <c r="F213" s="19">
        <f>IF(OR($B213="",$E213=""),"",IFERROR(IF(AND(INDEX('Intervals'!$G$4:$G$33,MATCH($B213,'Intervals'!$A$4:$A$33,0))&lt;&gt;"No",N(INDEX('Intervals'!$C$4:$C$33,MATCH($B213,'Intervals'!$A$4:$A$33,0)))&gt;0),$E213+N(INDEX('Intervals'!$C$4:$C$33,MATCH($B213,'Intervals'!$A$4:$A$33,0))),""),""))</f>
        <v/>
      </c>
      <c r="G213" s="20">
        <f>IF(OR($B213="",$D213=""),"",IFERROR(IF(AND(INDEX('Intervals'!$G$4:$G$33,MATCH($B213,'Intervals'!$A$4:$A$33,0))&lt;&gt;"No",N(INDEX('Intervals'!$D$4:$D$33,MATCH($B213,'Intervals'!$A$4:$A$33,0)))&gt;0),EDATE($D213,N(INDEX('Intervals'!$D$4:$D$33,MATCH($B213,'Intervals'!$A$4:$A$33,0)))),""),""))</f>
        <v/>
      </c>
      <c r="H213" s="19">
        <f>IF($A213="","",IFERROR(IF(N(INDEX('Cars'!$H$4:$H$103,MATCH($A213,'Cars'!$A$4:$A$103,0)))&gt;0,INDEX('Cars'!$H$4:$H$103,MATCH($A213,'Cars'!$A$4:$A$103,0)),""),""))</f>
        <v/>
      </c>
      <c r="I213" s="19">
        <f>IF(OR($F213="",$H213=""),"",$F213-$H213)</f>
        <v/>
      </c>
      <c r="J213" s="21">
        <f>IF($G213="","",$G213-TODAY())</f>
        <v/>
      </c>
      <c r="K213" s="21">
        <f>IF($I213="","",IFERROR(IF(N(INDEX('Cars'!$J$4:$J$103,MATCH($A213,'Cars'!$A$4:$A$103,0)))&gt;0,ROUND($I213/INDEX('Cars'!$J$4:$J$103,MATCH($A213,'Cars'!$A$4:$A$103,0))*30,0),""),""))</f>
        <v/>
      </c>
      <c r="L213" s="21">
        <f>IF(AND($J213="",$K213=""),"",MIN(IF($J213="",99999,$J213),IF($K213="",99999,$K213)))</f>
        <v/>
      </c>
      <c r="M213" s="16">
        <f>IF(AND($I213="",$J213=""),"",IF(OR(AND($I213&lt;&gt;"",N($I213)&lt;0),AND($J213&lt;&gt;"",N($J213)&lt;0)),"Overdue",IF(OR(AND($I213&lt;&gt;"",N($I213)&lt;=IFERROR(INDEX('Intervals'!$E$4:$E$33,MATCH($B213,'Intervals'!$A$4:$A$33,0)),500)),AND($J213&lt;&gt;"",N($J213)&lt;=IFERROR(INDEX('Intervals'!$F$4:$F$33,MATCH($B213,'Intervals'!$A$4:$A$33,0)),14))),"Due soon","OK")))</f>
        <v/>
      </c>
      <c r="N213" s="15" t="n"/>
      <c r="O213" s="22">
        <f>IF(OR($M213="",$M213="OK"),"",$L213+ROW()/100000)</f>
        <v/>
      </c>
    </row>
    <row r="214">
      <c r="A214" s="15" t="n"/>
      <c r="B214" s="15" t="n"/>
      <c r="C214" s="16">
        <f>IF($B214="","",IFERROR(INDEX('Intervals'!$B$4:$B$33,MATCH($B214,'Intervals'!$A$4:$A$33,0)),""))</f>
        <v/>
      </c>
      <c r="D214" s="17" t="n"/>
      <c r="E214" s="18" t="n"/>
      <c r="F214" s="19">
        <f>IF(OR($B214="",$E214=""),"",IFERROR(IF(AND(INDEX('Intervals'!$G$4:$G$33,MATCH($B214,'Intervals'!$A$4:$A$33,0))&lt;&gt;"No",N(INDEX('Intervals'!$C$4:$C$33,MATCH($B214,'Intervals'!$A$4:$A$33,0)))&gt;0),$E214+N(INDEX('Intervals'!$C$4:$C$33,MATCH($B214,'Intervals'!$A$4:$A$33,0))),""),""))</f>
        <v/>
      </c>
      <c r="G214" s="20">
        <f>IF(OR($B214="",$D214=""),"",IFERROR(IF(AND(INDEX('Intervals'!$G$4:$G$33,MATCH($B214,'Intervals'!$A$4:$A$33,0))&lt;&gt;"No",N(INDEX('Intervals'!$D$4:$D$33,MATCH($B214,'Intervals'!$A$4:$A$33,0)))&gt;0),EDATE($D214,N(INDEX('Intervals'!$D$4:$D$33,MATCH($B214,'Intervals'!$A$4:$A$33,0)))),""),""))</f>
        <v/>
      </c>
      <c r="H214" s="19">
        <f>IF($A214="","",IFERROR(IF(N(INDEX('Cars'!$H$4:$H$103,MATCH($A214,'Cars'!$A$4:$A$103,0)))&gt;0,INDEX('Cars'!$H$4:$H$103,MATCH($A214,'Cars'!$A$4:$A$103,0)),""),""))</f>
        <v/>
      </c>
      <c r="I214" s="19">
        <f>IF(OR($F214="",$H214=""),"",$F214-$H214)</f>
        <v/>
      </c>
      <c r="J214" s="21">
        <f>IF($G214="","",$G214-TODAY())</f>
        <v/>
      </c>
      <c r="K214" s="21">
        <f>IF($I214="","",IFERROR(IF(N(INDEX('Cars'!$J$4:$J$103,MATCH($A214,'Cars'!$A$4:$A$103,0)))&gt;0,ROUND($I214/INDEX('Cars'!$J$4:$J$103,MATCH($A214,'Cars'!$A$4:$A$103,0))*30,0),""),""))</f>
        <v/>
      </c>
      <c r="L214" s="21">
        <f>IF(AND($J214="",$K214=""),"",MIN(IF($J214="",99999,$J214),IF($K214="",99999,$K214)))</f>
        <v/>
      </c>
      <c r="M214" s="16">
        <f>IF(AND($I214="",$J214=""),"",IF(OR(AND($I214&lt;&gt;"",N($I214)&lt;0),AND($J214&lt;&gt;"",N($J214)&lt;0)),"Overdue",IF(OR(AND($I214&lt;&gt;"",N($I214)&lt;=IFERROR(INDEX('Intervals'!$E$4:$E$33,MATCH($B214,'Intervals'!$A$4:$A$33,0)),500)),AND($J214&lt;&gt;"",N($J214)&lt;=IFERROR(INDEX('Intervals'!$F$4:$F$33,MATCH($B214,'Intervals'!$A$4:$A$33,0)),14))),"Due soon","OK")))</f>
        <v/>
      </c>
      <c r="N214" s="15" t="n"/>
      <c r="O214" s="22">
        <f>IF(OR($M214="",$M214="OK"),"",$L214+ROW()/100000)</f>
        <v/>
      </c>
    </row>
    <row r="215">
      <c r="A215" s="15" t="n"/>
      <c r="B215" s="15" t="n"/>
      <c r="C215" s="16">
        <f>IF($B215="","",IFERROR(INDEX('Intervals'!$B$4:$B$33,MATCH($B215,'Intervals'!$A$4:$A$33,0)),""))</f>
        <v/>
      </c>
      <c r="D215" s="17" t="n"/>
      <c r="E215" s="18" t="n"/>
      <c r="F215" s="19">
        <f>IF(OR($B215="",$E215=""),"",IFERROR(IF(AND(INDEX('Intervals'!$G$4:$G$33,MATCH($B215,'Intervals'!$A$4:$A$33,0))&lt;&gt;"No",N(INDEX('Intervals'!$C$4:$C$33,MATCH($B215,'Intervals'!$A$4:$A$33,0)))&gt;0),$E215+N(INDEX('Intervals'!$C$4:$C$33,MATCH($B215,'Intervals'!$A$4:$A$33,0))),""),""))</f>
        <v/>
      </c>
      <c r="G215" s="20">
        <f>IF(OR($B215="",$D215=""),"",IFERROR(IF(AND(INDEX('Intervals'!$G$4:$G$33,MATCH($B215,'Intervals'!$A$4:$A$33,0))&lt;&gt;"No",N(INDEX('Intervals'!$D$4:$D$33,MATCH($B215,'Intervals'!$A$4:$A$33,0)))&gt;0),EDATE($D215,N(INDEX('Intervals'!$D$4:$D$33,MATCH($B215,'Intervals'!$A$4:$A$33,0)))),""),""))</f>
        <v/>
      </c>
      <c r="H215" s="19">
        <f>IF($A215="","",IFERROR(IF(N(INDEX('Cars'!$H$4:$H$103,MATCH($A215,'Cars'!$A$4:$A$103,0)))&gt;0,INDEX('Cars'!$H$4:$H$103,MATCH($A215,'Cars'!$A$4:$A$103,0)),""),""))</f>
        <v/>
      </c>
      <c r="I215" s="19">
        <f>IF(OR($F215="",$H215=""),"",$F215-$H215)</f>
        <v/>
      </c>
      <c r="J215" s="21">
        <f>IF($G215="","",$G215-TODAY())</f>
        <v/>
      </c>
      <c r="K215" s="21">
        <f>IF($I215="","",IFERROR(IF(N(INDEX('Cars'!$J$4:$J$103,MATCH($A215,'Cars'!$A$4:$A$103,0)))&gt;0,ROUND($I215/INDEX('Cars'!$J$4:$J$103,MATCH($A215,'Cars'!$A$4:$A$103,0))*30,0),""),""))</f>
        <v/>
      </c>
      <c r="L215" s="21">
        <f>IF(AND($J215="",$K215=""),"",MIN(IF($J215="",99999,$J215),IF($K215="",99999,$K215)))</f>
        <v/>
      </c>
      <c r="M215" s="16">
        <f>IF(AND($I215="",$J215=""),"",IF(OR(AND($I215&lt;&gt;"",N($I215)&lt;0),AND($J215&lt;&gt;"",N($J215)&lt;0)),"Overdue",IF(OR(AND($I215&lt;&gt;"",N($I215)&lt;=IFERROR(INDEX('Intervals'!$E$4:$E$33,MATCH($B215,'Intervals'!$A$4:$A$33,0)),500)),AND($J215&lt;&gt;"",N($J215)&lt;=IFERROR(INDEX('Intervals'!$F$4:$F$33,MATCH($B215,'Intervals'!$A$4:$A$33,0)),14))),"Due soon","OK")))</f>
        <v/>
      </c>
      <c r="N215" s="15" t="n"/>
      <c r="O215" s="22">
        <f>IF(OR($M215="",$M215="OK"),"",$L215+ROW()/100000)</f>
        <v/>
      </c>
    </row>
    <row r="216">
      <c r="A216" s="15" t="n"/>
      <c r="B216" s="15" t="n"/>
      <c r="C216" s="16">
        <f>IF($B216="","",IFERROR(INDEX('Intervals'!$B$4:$B$33,MATCH($B216,'Intervals'!$A$4:$A$33,0)),""))</f>
        <v/>
      </c>
      <c r="D216" s="17" t="n"/>
      <c r="E216" s="18" t="n"/>
      <c r="F216" s="19">
        <f>IF(OR($B216="",$E216=""),"",IFERROR(IF(AND(INDEX('Intervals'!$G$4:$G$33,MATCH($B216,'Intervals'!$A$4:$A$33,0))&lt;&gt;"No",N(INDEX('Intervals'!$C$4:$C$33,MATCH($B216,'Intervals'!$A$4:$A$33,0)))&gt;0),$E216+N(INDEX('Intervals'!$C$4:$C$33,MATCH($B216,'Intervals'!$A$4:$A$33,0))),""),""))</f>
        <v/>
      </c>
      <c r="G216" s="20">
        <f>IF(OR($B216="",$D216=""),"",IFERROR(IF(AND(INDEX('Intervals'!$G$4:$G$33,MATCH($B216,'Intervals'!$A$4:$A$33,0))&lt;&gt;"No",N(INDEX('Intervals'!$D$4:$D$33,MATCH($B216,'Intervals'!$A$4:$A$33,0)))&gt;0),EDATE($D216,N(INDEX('Intervals'!$D$4:$D$33,MATCH($B216,'Intervals'!$A$4:$A$33,0)))),""),""))</f>
        <v/>
      </c>
      <c r="H216" s="19">
        <f>IF($A216="","",IFERROR(IF(N(INDEX('Cars'!$H$4:$H$103,MATCH($A216,'Cars'!$A$4:$A$103,0)))&gt;0,INDEX('Cars'!$H$4:$H$103,MATCH($A216,'Cars'!$A$4:$A$103,0)),""),""))</f>
        <v/>
      </c>
      <c r="I216" s="19">
        <f>IF(OR($F216="",$H216=""),"",$F216-$H216)</f>
        <v/>
      </c>
      <c r="J216" s="21">
        <f>IF($G216="","",$G216-TODAY())</f>
        <v/>
      </c>
      <c r="K216" s="21">
        <f>IF($I216="","",IFERROR(IF(N(INDEX('Cars'!$J$4:$J$103,MATCH($A216,'Cars'!$A$4:$A$103,0)))&gt;0,ROUND($I216/INDEX('Cars'!$J$4:$J$103,MATCH($A216,'Cars'!$A$4:$A$103,0))*30,0),""),""))</f>
        <v/>
      </c>
      <c r="L216" s="21">
        <f>IF(AND($J216="",$K216=""),"",MIN(IF($J216="",99999,$J216),IF($K216="",99999,$K216)))</f>
        <v/>
      </c>
      <c r="M216" s="16">
        <f>IF(AND($I216="",$J216=""),"",IF(OR(AND($I216&lt;&gt;"",N($I216)&lt;0),AND($J216&lt;&gt;"",N($J216)&lt;0)),"Overdue",IF(OR(AND($I216&lt;&gt;"",N($I216)&lt;=IFERROR(INDEX('Intervals'!$E$4:$E$33,MATCH($B216,'Intervals'!$A$4:$A$33,0)),500)),AND($J216&lt;&gt;"",N($J216)&lt;=IFERROR(INDEX('Intervals'!$F$4:$F$33,MATCH($B216,'Intervals'!$A$4:$A$33,0)),14))),"Due soon","OK")))</f>
        <v/>
      </c>
      <c r="N216" s="15" t="n"/>
      <c r="O216" s="22">
        <f>IF(OR($M216="",$M216="OK"),"",$L216+ROW()/100000)</f>
        <v/>
      </c>
    </row>
    <row r="217">
      <c r="A217" s="15" t="n"/>
      <c r="B217" s="15" t="n"/>
      <c r="C217" s="16">
        <f>IF($B217="","",IFERROR(INDEX('Intervals'!$B$4:$B$33,MATCH($B217,'Intervals'!$A$4:$A$33,0)),""))</f>
        <v/>
      </c>
      <c r="D217" s="17" t="n"/>
      <c r="E217" s="18" t="n"/>
      <c r="F217" s="19">
        <f>IF(OR($B217="",$E217=""),"",IFERROR(IF(AND(INDEX('Intervals'!$G$4:$G$33,MATCH($B217,'Intervals'!$A$4:$A$33,0))&lt;&gt;"No",N(INDEX('Intervals'!$C$4:$C$33,MATCH($B217,'Intervals'!$A$4:$A$33,0)))&gt;0),$E217+N(INDEX('Intervals'!$C$4:$C$33,MATCH($B217,'Intervals'!$A$4:$A$33,0))),""),""))</f>
        <v/>
      </c>
      <c r="G217" s="20">
        <f>IF(OR($B217="",$D217=""),"",IFERROR(IF(AND(INDEX('Intervals'!$G$4:$G$33,MATCH($B217,'Intervals'!$A$4:$A$33,0))&lt;&gt;"No",N(INDEX('Intervals'!$D$4:$D$33,MATCH($B217,'Intervals'!$A$4:$A$33,0)))&gt;0),EDATE($D217,N(INDEX('Intervals'!$D$4:$D$33,MATCH($B217,'Intervals'!$A$4:$A$33,0)))),""),""))</f>
        <v/>
      </c>
      <c r="H217" s="19">
        <f>IF($A217="","",IFERROR(IF(N(INDEX('Cars'!$H$4:$H$103,MATCH($A217,'Cars'!$A$4:$A$103,0)))&gt;0,INDEX('Cars'!$H$4:$H$103,MATCH($A217,'Cars'!$A$4:$A$103,0)),""),""))</f>
        <v/>
      </c>
      <c r="I217" s="19">
        <f>IF(OR($F217="",$H217=""),"",$F217-$H217)</f>
        <v/>
      </c>
      <c r="J217" s="21">
        <f>IF($G217="","",$G217-TODAY())</f>
        <v/>
      </c>
      <c r="K217" s="21">
        <f>IF($I217="","",IFERROR(IF(N(INDEX('Cars'!$J$4:$J$103,MATCH($A217,'Cars'!$A$4:$A$103,0)))&gt;0,ROUND($I217/INDEX('Cars'!$J$4:$J$103,MATCH($A217,'Cars'!$A$4:$A$103,0))*30,0),""),""))</f>
        <v/>
      </c>
      <c r="L217" s="21">
        <f>IF(AND($J217="",$K217=""),"",MIN(IF($J217="",99999,$J217),IF($K217="",99999,$K217)))</f>
        <v/>
      </c>
      <c r="M217" s="16">
        <f>IF(AND($I217="",$J217=""),"",IF(OR(AND($I217&lt;&gt;"",N($I217)&lt;0),AND($J217&lt;&gt;"",N($J217)&lt;0)),"Overdue",IF(OR(AND($I217&lt;&gt;"",N($I217)&lt;=IFERROR(INDEX('Intervals'!$E$4:$E$33,MATCH($B217,'Intervals'!$A$4:$A$33,0)),500)),AND($J217&lt;&gt;"",N($J217)&lt;=IFERROR(INDEX('Intervals'!$F$4:$F$33,MATCH($B217,'Intervals'!$A$4:$A$33,0)),14))),"Due soon","OK")))</f>
        <v/>
      </c>
      <c r="N217" s="15" t="n"/>
      <c r="O217" s="22">
        <f>IF(OR($M217="",$M217="OK"),"",$L217+ROW()/100000)</f>
        <v/>
      </c>
    </row>
    <row r="218">
      <c r="A218" s="15" t="n"/>
      <c r="B218" s="15" t="n"/>
      <c r="C218" s="16">
        <f>IF($B218="","",IFERROR(INDEX('Intervals'!$B$4:$B$33,MATCH($B218,'Intervals'!$A$4:$A$33,0)),""))</f>
        <v/>
      </c>
      <c r="D218" s="17" t="n"/>
      <c r="E218" s="18" t="n"/>
      <c r="F218" s="19">
        <f>IF(OR($B218="",$E218=""),"",IFERROR(IF(AND(INDEX('Intervals'!$G$4:$G$33,MATCH($B218,'Intervals'!$A$4:$A$33,0))&lt;&gt;"No",N(INDEX('Intervals'!$C$4:$C$33,MATCH($B218,'Intervals'!$A$4:$A$33,0)))&gt;0),$E218+N(INDEX('Intervals'!$C$4:$C$33,MATCH($B218,'Intervals'!$A$4:$A$33,0))),""),""))</f>
        <v/>
      </c>
      <c r="G218" s="20">
        <f>IF(OR($B218="",$D218=""),"",IFERROR(IF(AND(INDEX('Intervals'!$G$4:$G$33,MATCH($B218,'Intervals'!$A$4:$A$33,0))&lt;&gt;"No",N(INDEX('Intervals'!$D$4:$D$33,MATCH($B218,'Intervals'!$A$4:$A$33,0)))&gt;0),EDATE($D218,N(INDEX('Intervals'!$D$4:$D$33,MATCH($B218,'Intervals'!$A$4:$A$33,0)))),""),""))</f>
        <v/>
      </c>
      <c r="H218" s="19">
        <f>IF($A218="","",IFERROR(IF(N(INDEX('Cars'!$H$4:$H$103,MATCH($A218,'Cars'!$A$4:$A$103,0)))&gt;0,INDEX('Cars'!$H$4:$H$103,MATCH($A218,'Cars'!$A$4:$A$103,0)),""),""))</f>
        <v/>
      </c>
      <c r="I218" s="19">
        <f>IF(OR($F218="",$H218=""),"",$F218-$H218)</f>
        <v/>
      </c>
      <c r="J218" s="21">
        <f>IF($G218="","",$G218-TODAY())</f>
        <v/>
      </c>
      <c r="K218" s="21">
        <f>IF($I218="","",IFERROR(IF(N(INDEX('Cars'!$J$4:$J$103,MATCH($A218,'Cars'!$A$4:$A$103,0)))&gt;0,ROUND($I218/INDEX('Cars'!$J$4:$J$103,MATCH($A218,'Cars'!$A$4:$A$103,0))*30,0),""),""))</f>
        <v/>
      </c>
      <c r="L218" s="21">
        <f>IF(AND($J218="",$K218=""),"",MIN(IF($J218="",99999,$J218),IF($K218="",99999,$K218)))</f>
        <v/>
      </c>
      <c r="M218" s="16">
        <f>IF(AND($I218="",$J218=""),"",IF(OR(AND($I218&lt;&gt;"",N($I218)&lt;0),AND($J218&lt;&gt;"",N($J218)&lt;0)),"Overdue",IF(OR(AND($I218&lt;&gt;"",N($I218)&lt;=IFERROR(INDEX('Intervals'!$E$4:$E$33,MATCH($B218,'Intervals'!$A$4:$A$33,0)),500)),AND($J218&lt;&gt;"",N($J218)&lt;=IFERROR(INDEX('Intervals'!$F$4:$F$33,MATCH($B218,'Intervals'!$A$4:$A$33,0)),14))),"Due soon","OK")))</f>
        <v/>
      </c>
      <c r="N218" s="15" t="n"/>
      <c r="O218" s="22">
        <f>IF(OR($M218="",$M218="OK"),"",$L218+ROW()/100000)</f>
        <v/>
      </c>
    </row>
    <row r="219">
      <c r="A219" s="15" t="n"/>
      <c r="B219" s="15" t="n"/>
      <c r="C219" s="16">
        <f>IF($B219="","",IFERROR(INDEX('Intervals'!$B$4:$B$33,MATCH($B219,'Intervals'!$A$4:$A$33,0)),""))</f>
        <v/>
      </c>
      <c r="D219" s="17" t="n"/>
      <c r="E219" s="18" t="n"/>
      <c r="F219" s="19">
        <f>IF(OR($B219="",$E219=""),"",IFERROR(IF(AND(INDEX('Intervals'!$G$4:$G$33,MATCH($B219,'Intervals'!$A$4:$A$33,0))&lt;&gt;"No",N(INDEX('Intervals'!$C$4:$C$33,MATCH($B219,'Intervals'!$A$4:$A$33,0)))&gt;0),$E219+N(INDEX('Intervals'!$C$4:$C$33,MATCH($B219,'Intervals'!$A$4:$A$33,0))),""),""))</f>
        <v/>
      </c>
      <c r="G219" s="20">
        <f>IF(OR($B219="",$D219=""),"",IFERROR(IF(AND(INDEX('Intervals'!$G$4:$G$33,MATCH($B219,'Intervals'!$A$4:$A$33,0))&lt;&gt;"No",N(INDEX('Intervals'!$D$4:$D$33,MATCH($B219,'Intervals'!$A$4:$A$33,0)))&gt;0),EDATE($D219,N(INDEX('Intervals'!$D$4:$D$33,MATCH($B219,'Intervals'!$A$4:$A$33,0)))),""),""))</f>
        <v/>
      </c>
      <c r="H219" s="19">
        <f>IF($A219="","",IFERROR(IF(N(INDEX('Cars'!$H$4:$H$103,MATCH($A219,'Cars'!$A$4:$A$103,0)))&gt;0,INDEX('Cars'!$H$4:$H$103,MATCH($A219,'Cars'!$A$4:$A$103,0)),""),""))</f>
        <v/>
      </c>
      <c r="I219" s="19">
        <f>IF(OR($F219="",$H219=""),"",$F219-$H219)</f>
        <v/>
      </c>
      <c r="J219" s="21">
        <f>IF($G219="","",$G219-TODAY())</f>
        <v/>
      </c>
      <c r="K219" s="21">
        <f>IF($I219="","",IFERROR(IF(N(INDEX('Cars'!$J$4:$J$103,MATCH($A219,'Cars'!$A$4:$A$103,0)))&gt;0,ROUND($I219/INDEX('Cars'!$J$4:$J$103,MATCH($A219,'Cars'!$A$4:$A$103,0))*30,0),""),""))</f>
        <v/>
      </c>
      <c r="L219" s="21">
        <f>IF(AND($J219="",$K219=""),"",MIN(IF($J219="",99999,$J219),IF($K219="",99999,$K219)))</f>
        <v/>
      </c>
      <c r="M219" s="16">
        <f>IF(AND($I219="",$J219=""),"",IF(OR(AND($I219&lt;&gt;"",N($I219)&lt;0),AND($J219&lt;&gt;"",N($J219)&lt;0)),"Overdue",IF(OR(AND($I219&lt;&gt;"",N($I219)&lt;=IFERROR(INDEX('Intervals'!$E$4:$E$33,MATCH($B219,'Intervals'!$A$4:$A$33,0)),500)),AND($J219&lt;&gt;"",N($J219)&lt;=IFERROR(INDEX('Intervals'!$F$4:$F$33,MATCH($B219,'Intervals'!$A$4:$A$33,0)),14))),"Due soon","OK")))</f>
        <v/>
      </c>
      <c r="N219" s="15" t="n"/>
      <c r="O219" s="22">
        <f>IF(OR($M219="",$M219="OK"),"",$L219+ROW()/100000)</f>
        <v/>
      </c>
    </row>
    <row r="220">
      <c r="A220" s="15" t="n"/>
      <c r="B220" s="15" t="n"/>
      <c r="C220" s="16">
        <f>IF($B220="","",IFERROR(INDEX('Intervals'!$B$4:$B$33,MATCH($B220,'Intervals'!$A$4:$A$33,0)),""))</f>
        <v/>
      </c>
      <c r="D220" s="17" t="n"/>
      <c r="E220" s="18" t="n"/>
      <c r="F220" s="19">
        <f>IF(OR($B220="",$E220=""),"",IFERROR(IF(AND(INDEX('Intervals'!$G$4:$G$33,MATCH($B220,'Intervals'!$A$4:$A$33,0))&lt;&gt;"No",N(INDEX('Intervals'!$C$4:$C$33,MATCH($B220,'Intervals'!$A$4:$A$33,0)))&gt;0),$E220+N(INDEX('Intervals'!$C$4:$C$33,MATCH($B220,'Intervals'!$A$4:$A$33,0))),""),""))</f>
        <v/>
      </c>
      <c r="G220" s="20">
        <f>IF(OR($B220="",$D220=""),"",IFERROR(IF(AND(INDEX('Intervals'!$G$4:$G$33,MATCH($B220,'Intervals'!$A$4:$A$33,0))&lt;&gt;"No",N(INDEX('Intervals'!$D$4:$D$33,MATCH($B220,'Intervals'!$A$4:$A$33,0)))&gt;0),EDATE($D220,N(INDEX('Intervals'!$D$4:$D$33,MATCH($B220,'Intervals'!$A$4:$A$33,0)))),""),""))</f>
        <v/>
      </c>
      <c r="H220" s="19">
        <f>IF($A220="","",IFERROR(IF(N(INDEX('Cars'!$H$4:$H$103,MATCH($A220,'Cars'!$A$4:$A$103,0)))&gt;0,INDEX('Cars'!$H$4:$H$103,MATCH($A220,'Cars'!$A$4:$A$103,0)),""),""))</f>
        <v/>
      </c>
      <c r="I220" s="19">
        <f>IF(OR($F220="",$H220=""),"",$F220-$H220)</f>
        <v/>
      </c>
      <c r="J220" s="21">
        <f>IF($G220="","",$G220-TODAY())</f>
        <v/>
      </c>
      <c r="K220" s="21">
        <f>IF($I220="","",IFERROR(IF(N(INDEX('Cars'!$J$4:$J$103,MATCH($A220,'Cars'!$A$4:$A$103,0)))&gt;0,ROUND($I220/INDEX('Cars'!$J$4:$J$103,MATCH($A220,'Cars'!$A$4:$A$103,0))*30,0),""),""))</f>
        <v/>
      </c>
      <c r="L220" s="21">
        <f>IF(AND($J220="",$K220=""),"",MIN(IF($J220="",99999,$J220),IF($K220="",99999,$K220)))</f>
        <v/>
      </c>
      <c r="M220" s="16">
        <f>IF(AND($I220="",$J220=""),"",IF(OR(AND($I220&lt;&gt;"",N($I220)&lt;0),AND($J220&lt;&gt;"",N($J220)&lt;0)),"Overdue",IF(OR(AND($I220&lt;&gt;"",N($I220)&lt;=IFERROR(INDEX('Intervals'!$E$4:$E$33,MATCH($B220,'Intervals'!$A$4:$A$33,0)),500)),AND($J220&lt;&gt;"",N($J220)&lt;=IFERROR(INDEX('Intervals'!$F$4:$F$33,MATCH($B220,'Intervals'!$A$4:$A$33,0)),14))),"Due soon","OK")))</f>
        <v/>
      </c>
      <c r="N220" s="15" t="n"/>
      <c r="O220" s="22">
        <f>IF(OR($M220="",$M220="OK"),"",$L220+ROW()/100000)</f>
        <v/>
      </c>
    </row>
    <row r="221">
      <c r="A221" s="15" t="n"/>
      <c r="B221" s="15" t="n"/>
      <c r="C221" s="16">
        <f>IF($B221="","",IFERROR(INDEX('Intervals'!$B$4:$B$33,MATCH($B221,'Intervals'!$A$4:$A$33,0)),""))</f>
        <v/>
      </c>
      <c r="D221" s="17" t="n"/>
      <c r="E221" s="18" t="n"/>
      <c r="F221" s="19">
        <f>IF(OR($B221="",$E221=""),"",IFERROR(IF(AND(INDEX('Intervals'!$G$4:$G$33,MATCH($B221,'Intervals'!$A$4:$A$33,0))&lt;&gt;"No",N(INDEX('Intervals'!$C$4:$C$33,MATCH($B221,'Intervals'!$A$4:$A$33,0)))&gt;0),$E221+N(INDEX('Intervals'!$C$4:$C$33,MATCH($B221,'Intervals'!$A$4:$A$33,0))),""),""))</f>
        <v/>
      </c>
      <c r="G221" s="20">
        <f>IF(OR($B221="",$D221=""),"",IFERROR(IF(AND(INDEX('Intervals'!$G$4:$G$33,MATCH($B221,'Intervals'!$A$4:$A$33,0))&lt;&gt;"No",N(INDEX('Intervals'!$D$4:$D$33,MATCH($B221,'Intervals'!$A$4:$A$33,0)))&gt;0),EDATE($D221,N(INDEX('Intervals'!$D$4:$D$33,MATCH($B221,'Intervals'!$A$4:$A$33,0)))),""),""))</f>
        <v/>
      </c>
      <c r="H221" s="19">
        <f>IF($A221="","",IFERROR(IF(N(INDEX('Cars'!$H$4:$H$103,MATCH($A221,'Cars'!$A$4:$A$103,0)))&gt;0,INDEX('Cars'!$H$4:$H$103,MATCH($A221,'Cars'!$A$4:$A$103,0)),""),""))</f>
        <v/>
      </c>
      <c r="I221" s="19">
        <f>IF(OR($F221="",$H221=""),"",$F221-$H221)</f>
        <v/>
      </c>
      <c r="J221" s="21">
        <f>IF($G221="","",$G221-TODAY())</f>
        <v/>
      </c>
      <c r="K221" s="21">
        <f>IF($I221="","",IFERROR(IF(N(INDEX('Cars'!$J$4:$J$103,MATCH($A221,'Cars'!$A$4:$A$103,0)))&gt;0,ROUND($I221/INDEX('Cars'!$J$4:$J$103,MATCH($A221,'Cars'!$A$4:$A$103,0))*30,0),""),""))</f>
        <v/>
      </c>
      <c r="L221" s="21">
        <f>IF(AND($J221="",$K221=""),"",MIN(IF($J221="",99999,$J221),IF($K221="",99999,$K221)))</f>
        <v/>
      </c>
      <c r="M221" s="16">
        <f>IF(AND($I221="",$J221=""),"",IF(OR(AND($I221&lt;&gt;"",N($I221)&lt;0),AND($J221&lt;&gt;"",N($J221)&lt;0)),"Overdue",IF(OR(AND($I221&lt;&gt;"",N($I221)&lt;=IFERROR(INDEX('Intervals'!$E$4:$E$33,MATCH($B221,'Intervals'!$A$4:$A$33,0)),500)),AND($J221&lt;&gt;"",N($J221)&lt;=IFERROR(INDEX('Intervals'!$F$4:$F$33,MATCH($B221,'Intervals'!$A$4:$A$33,0)),14))),"Due soon","OK")))</f>
        <v/>
      </c>
      <c r="N221" s="15" t="n"/>
      <c r="O221" s="22">
        <f>IF(OR($M221="",$M221="OK"),"",$L221+ROW()/100000)</f>
        <v/>
      </c>
    </row>
    <row r="222">
      <c r="A222" s="15" t="n"/>
      <c r="B222" s="15" t="n"/>
      <c r="C222" s="16">
        <f>IF($B222="","",IFERROR(INDEX('Intervals'!$B$4:$B$33,MATCH($B222,'Intervals'!$A$4:$A$33,0)),""))</f>
        <v/>
      </c>
      <c r="D222" s="17" t="n"/>
      <c r="E222" s="18" t="n"/>
      <c r="F222" s="19">
        <f>IF(OR($B222="",$E222=""),"",IFERROR(IF(AND(INDEX('Intervals'!$G$4:$G$33,MATCH($B222,'Intervals'!$A$4:$A$33,0))&lt;&gt;"No",N(INDEX('Intervals'!$C$4:$C$33,MATCH($B222,'Intervals'!$A$4:$A$33,0)))&gt;0),$E222+N(INDEX('Intervals'!$C$4:$C$33,MATCH($B222,'Intervals'!$A$4:$A$33,0))),""),""))</f>
        <v/>
      </c>
      <c r="G222" s="20">
        <f>IF(OR($B222="",$D222=""),"",IFERROR(IF(AND(INDEX('Intervals'!$G$4:$G$33,MATCH($B222,'Intervals'!$A$4:$A$33,0))&lt;&gt;"No",N(INDEX('Intervals'!$D$4:$D$33,MATCH($B222,'Intervals'!$A$4:$A$33,0)))&gt;0),EDATE($D222,N(INDEX('Intervals'!$D$4:$D$33,MATCH($B222,'Intervals'!$A$4:$A$33,0)))),""),""))</f>
        <v/>
      </c>
      <c r="H222" s="19">
        <f>IF($A222="","",IFERROR(IF(N(INDEX('Cars'!$H$4:$H$103,MATCH($A222,'Cars'!$A$4:$A$103,0)))&gt;0,INDEX('Cars'!$H$4:$H$103,MATCH($A222,'Cars'!$A$4:$A$103,0)),""),""))</f>
        <v/>
      </c>
      <c r="I222" s="19">
        <f>IF(OR($F222="",$H222=""),"",$F222-$H222)</f>
        <v/>
      </c>
      <c r="J222" s="21">
        <f>IF($G222="","",$G222-TODAY())</f>
        <v/>
      </c>
      <c r="K222" s="21">
        <f>IF($I222="","",IFERROR(IF(N(INDEX('Cars'!$J$4:$J$103,MATCH($A222,'Cars'!$A$4:$A$103,0)))&gt;0,ROUND($I222/INDEX('Cars'!$J$4:$J$103,MATCH($A222,'Cars'!$A$4:$A$103,0))*30,0),""),""))</f>
        <v/>
      </c>
      <c r="L222" s="21">
        <f>IF(AND($J222="",$K222=""),"",MIN(IF($J222="",99999,$J222),IF($K222="",99999,$K222)))</f>
        <v/>
      </c>
      <c r="M222" s="16">
        <f>IF(AND($I222="",$J222=""),"",IF(OR(AND($I222&lt;&gt;"",N($I222)&lt;0),AND($J222&lt;&gt;"",N($J222)&lt;0)),"Overdue",IF(OR(AND($I222&lt;&gt;"",N($I222)&lt;=IFERROR(INDEX('Intervals'!$E$4:$E$33,MATCH($B222,'Intervals'!$A$4:$A$33,0)),500)),AND($J222&lt;&gt;"",N($J222)&lt;=IFERROR(INDEX('Intervals'!$F$4:$F$33,MATCH($B222,'Intervals'!$A$4:$A$33,0)),14))),"Due soon","OK")))</f>
        <v/>
      </c>
      <c r="N222" s="15" t="n"/>
      <c r="O222" s="22">
        <f>IF(OR($M222="",$M222="OK"),"",$L222+ROW()/100000)</f>
        <v/>
      </c>
    </row>
    <row r="223">
      <c r="A223" s="15" t="n"/>
      <c r="B223" s="15" t="n"/>
      <c r="C223" s="16">
        <f>IF($B223="","",IFERROR(INDEX('Intervals'!$B$4:$B$33,MATCH($B223,'Intervals'!$A$4:$A$33,0)),""))</f>
        <v/>
      </c>
      <c r="D223" s="17" t="n"/>
      <c r="E223" s="18" t="n"/>
      <c r="F223" s="19">
        <f>IF(OR($B223="",$E223=""),"",IFERROR(IF(AND(INDEX('Intervals'!$G$4:$G$33,MATCH($B223,'Intervals'!$A$4:$A$33,0))&lt;&gt;"No",N(INDEX('Intervals'!$C$4:$C$33,MATCH($B223,'Intervals'!$A$4:$A$33,0)))&gt;0),$E223+N(INDEX('Intervals'!$C$4:$C$33,MATCH($B223,'Intervals'!$A$4:$A$33,0))),""),""))</f>
        <v/>
      </c>
      <c r="G223" s="20">
        <f>IF(OR($B223="",$D223=""),"",IFERROR(IF(AND(INDEX('Intervals'!$G$4:$G$33,MATCH($B223,'Intervals'!$A$4:$A$33,0))&lt;&gt;"No",N(INDEX('Intervals'!$D$4:$D$33,MATCH($B223,'Intervals'!$A$4:$A$33,0)))&gt;0),EDATE($D223,N(INDEX('Intervals'!$D$4:$D$33,MATCH($B223,'Intervals'!$A$4:$A$33,0)))),""),""))</f>
        <v/>
      </c>
      <c r="H223" s="19">
        <f>IF($A223="","",IFERROR(IF(N(INDEX('Cars'!$H$4:$H$103,MATCH($A223,'Cars'!$A$4:$A$103,0)))&gt;0,INDEX('Cars'!$H$4:$H$103,MATCH($A223,'Cars'!$A$4:$A$103,0)),""),""))</f>
        <v/>
      </c>
      <c r="I223" s="19">
        <f>IF(OR($F223="",$H223=""),"",$F223-$H223)</f>
        <v/>
      </c>
      <c r="J223" s="21">
        <f>IF($G223="","",$G223-TODAY())</f>
        <v/>
      </c>
      <c r="K223" s="21">
        <f>IF($I223="","",IFERROR(IF(N(INDEX('Cars'!$J$4:$J$103,MATCH($A223,'Cars'!$A$4:$A$103,0)))&gt;0,ROUND($I223/INDEX('Cars'!$J$4:$J$103,MATCH($A223,'Cars'!$A$4:$A$103,0))*30,0),""),""))</f>
        <v/>
      </c>
      <c r="L223" s="21">
        <f>IF(AND($J223="",$K223=""),"",MIN(IF($J223="",99999,$J223),IF($K223="",99999,$K223)))</f>
        <v/>
      </c>
      <c r="M223" s="16">
        <f>IF(AND($I223="",$J223=""),"",IF(OR(AND($I223&lt;&gt;"",N($I223)&lt;0),AND($J223&lt;&gt;"",N($J223)&lt;0)),"Overdue",IF(OR(AND($I223&lt;&gt;"",N($I223)&lt;=IFERROR(INDEX('Intervals'!$E$4:$E$33,MATCH($B223,'Intervals'!$A$4:$A$33,0)),500)),AND($J223&lt;&gt;"",N($J223)&lt;=IFERROR(INDEX('Intervals'!$F$4:$F$33,MATCH($B223,'Intervals'!$A$4:$A$33,0)),14))),"Due soon","OK")))</f>
        <v/>
      </c>
      <c r="N223" s="15" t="n"/>
      <c r="O223" s="22">
        <f>IF(OR($M223="",$M223="OK"),"",$L223+ROW()/100000)</f>
        <v/>
      </c>
    </row>
    <row r="224">
      <c r="A224" s="15" t="n"/>
      <c r="B224" s="15" t="n"/>
      <c r="C224" s="16">
        <f>IF($B224="","",IFERROR(INDEX('Intervals'!$B$4:$B$33,MATCH($B224,'Intervals'!$A$4:$A$33,0)),""))</f>
        <v/>
      </c>
      <c r="D224" s="17" t="n"/>
      <c r="E224" s="18" t="n"/>
      <c r="F224" s="19">
        <f>IF(OR($B224="",$E224=""),"",IFERROR(IF(AND(INDEX('Intervals'!$G$4:$G$33,MATCH($B224,'Intervals'!$A$4:$A$33,0))&lt;&gt;"No",N(INDEX('Intervals'!$C$4:$C$33,MATCH($B224,'Intervals'!$A$4:$A$33,0)))&gt;0),$E224+N(INDEX('Intervals'!$C$4:$C$33,MATCH($B224,'Intervals'!$A$4:$A$33,0))),""),""))</f>
        <v/>
      </c>
      <c r="G224" s="20">
        <f>IF(OR($B224="",$D224=""),"",IFERROR(IF(AND(INDEX('Intervals'!$G$4:$G$33,MATCH($B224,'Intervals'!$A$4:$A$33,0))&lt;&gt;"No",N(INDEX('Intervals'!$D$4:$D$33,MATCH($B224,'Intervals'!$A$4:$A$33,0)))&gt;0),EDATE($D224,N(INDEX('Intervals'!$D$4:$D$33,MATCH($B224,'Intervals'!$A$4:$A$33,0)))),""),""))</f>
        <v/>
      </c>
      <c r="H224" s="19">
        <f>IF($A224="","",IFERROR(IF(N(INDEX('Cars'!$H$4:$H$103,MATCH($A224,'Cars'!$A$4:$A$103,0)))&gt;0,INDEX('Cars'!$H$4:$H$103,MATCH($A224,'Cars'!$A$4:$A$103,0)),""),""))</f>
        <v/>
      </c>
      <c r="I224" s="19">
        <f>IF(OR($F224="",$H224=""),"",$F224-$H224)</f>
        <v/>
      </c>
      <c r="J224" s="21">
        <f>IF($G224="","",$G224-TODAY())</f>
        <v/>
      </c>
      <c r="K224" s="21">
        <f>IF($I224="","",IFERROR(IF(N(INDEX('Cars'!$J$4:$J$103,MATCH($A224,'Cars'!$A$4:$A$103,0)))&gt;0,ROUND($I224/INDEX('Cars'!$J$4:$J$103,MATCH($A224,'Cars'!$A$4:$A$103,0))*30,0),""),""))</f>
        <v/>
      </c>
      <c r="L224" s="21">
        <f>IF(AND($J224="",$K224=""),"",MIN(IF($J224="",99999,$J224),IF($K224="",99999,$K224)))</f>
        <v/>
      </c>
      <c r="M224" s="16">
        <f>IF(AND($I224="",$J224=""),"",IF(OR(AND($I224&lt;&gt;"",N($I224)&lt;0),AND($J224&lt;&gt;"",N($J224)&lt;0)),"Overdue",IF(OR(AND($I224&lt;&gt;"",N($I224)&lt;=IFERROR(INDEX('Intervals'!$E$4:$E$33,MATCH($B224,'Intervals'!$A$4:$A$33,0)),500)),AND($J224&lt;&gt;"",N($J224)&lt;=IFERROR(INDEX('Intervals'!$F$4:$F$33,MATCH($B224,'Intervals'!$A$4:$A$33,0)),14))),"Due soon","OK")))</f>
        <v/>
      </c>
      <c r="N224" s="15" t="n"/>
      <c r="O224" s="22">
        <f>IF(OR($M224="",$M224="OK"),"",$L224+ROW()/100000)</f>
        <v/>
      </c>
    </row>
    <row r="225">
      <c r="A225" s="15" t="n"/>
      <c r="B225" s="15" t="n"/>
      <c r="C225" s="16">
        <f>IF($B225="","",IFERROR(INDEX('Intervals'!$B$4:$B$33,MATCH($B225,'Intervals'!$A$4:$A$33,0)),""))</f>
        <v/>
      </c>
      <c r="D225" s="17" t="n"/>
      <c r="E225" s="18" t="n"/>
      <c r="F225" s="19">
        <f>IF(OR($B225="",$E225=""),"",IFERROR(IF(AND(INDEX('Intervals'!$G$4:$G$33,MATCH($B225,'Intervals'!$A$4:$A$33,0))&lt;&gt;"No",N(INDEX('Intervals'!$C$4:$C$33,MATCH($B225,'Intervals'!$A$4:$A$33,0)))&gt;0),$E225+N(INDEX('Intervals'!$C$4:$C$33,MATCH($B225,'Intervals'!$A$4:$A$33,0))),""),""))</f>
        <v/>
      </c>
      <c r="G225" s="20">
        <f>IF(OR($B225="",$D225=""),"",IFERROR(IF(AND(INDEX('Intervals'!$G$4:$G$33,MATCH($B225,'Intervals'!$A$4:$A$33,0))&lt;&gt;"No",N(INDEX('Intervals'!$D$4:$D$33,MATCH($B225,'Intervals'!$A$4:$A$33,0)))&gt;0),EDATE($D225,N(INDEX('Intervals'!$D$4:$D$33,MATCH($B225,'Intervals'!$A$4:$A$33,0)))),""),""))</f>
        <v/>
      </c>
      <c r="H225" s="19">
        <f>IF($A225="","",IFERROR(IF(N(INDEX('Cars'!$H$4:$H$103,MATCH($A225,'Cars'!$A$4:$A$103,0)))&gt;0,INDEX('Cars'!$H$4:$H$103,MATCH($A225,'Cars'!$A$4:$A$103,0)),""),""))</f>
        <v/>
      </c>
      <c r="I225" s="19">
        <f>IF(OR($F225="",$H225=""),"",$F225-$H225)</f>
        <v/>
      </c>
      <c r="J225" s="21">
        <f>IF($G225="","",$G225-TODAY())</f>
        <v/>
      </c>
      <c r="K225" s="21">
        <f>IF($I225="","",IFERROR(IF(N(INDEX('Cars'!$J$4:$J$103,MATCH($A225,'Cars'!$A$4:$A$103,0)))&gt;0,ROUND($I225/INDEX('Cars'!$J$4:$J$103,MATCH($A225,'Cars'!$A$4:$A$103,0))*30,0),""),""))</f>
        <v/>
      </c>
      <c r="L225" s="21">
        <f>IF(AND($J225="",$K225=""),"",MIN(IF($J225="",99999,$J225),IF($K225="",99999,$K225)))</f>
        <v/>
      </c>
      <c r="M225" s="16">
        <f>IF(AND($I225="",$J225=""),"",IF(OR(AND($I225&lt;&gt;"",N($I225)&lt;0),AND($J225&lt;&gt;"",N($J225)&lt;0)),"Overdue",IF(OR(AND($I225&lt;&gt;"",N($I225)&lt;=IFERROR(INDEX('Intervals'!$E$4:$E$33,MATCH($B225,'Intervals'!$A$4:$A$33,0)),500)),AND($J225&lt;&gt;"",N($J225)&lt;=IFERROR(INDEX('Intervals'!$F$4:$F$33,MATCH($B225,'Intervals'!$A$4:$A$33,0)),14))),"Due soon","OK")))</f>
        <v/>
      </c>
      <c r="N225" s="15" t="n"/>
      <c r="O225" s="22">
        <f>IF(OR($M225="",$M225="OK"),"",$L225+ROW()/100000)</f>
        <v/>
      </c>
    </row>
    <row r="226">
      <c r="A226" s="15" t="n"/>
      <c r="B226" s="15" t="n"/>
      <c r="C226" s="16">
        <f>IF($B226="","",IFERROR(INDEX('Intervals'!$B$4:$B$33,MATCH($B226,'Intervals'!$A$4:$A$33,0)),""))</f>
        <v/>
      </c>
      <c r="D226" s="17" t="n"/>
      <c r="E226" s="18" t="n"/>
      <c r="F226" s="19">
        <f>IF(OR($B226="",$E226=""),"",IFERROR(IF(AND(INDEX('Intervals'!$G$4:$G$33,MATCH($B226,'Intervals'!$A$4:$A$33,0))&lt;&gt;"No",N(INDEX('Intervals'!$C$4:$C$33,MATCH($B226,'Intervals'!$A$4:$A$33,0)))&gt;0),$E226+N(INDEX('Intervals'!$C$4:$C$33,MATCH($B226,'Intervals'!$A$4:$A$33,0))),""),""))</f>
        <v/>
      </c>
      <c r="G226" s="20">
        <f>IF(OR($B226="",$D226=""),"",IFERROR(IF(AND(INDEX('Intervals'!$G$4:$G$33,MATCH($B226,'Intervals'!$A$4:$A$33,0))&lt;&gt;"No",N(INDEX('Intervals'!$D$4:$D$33,MATCH($B226,'Intervals'!$A$4:$A$33,0)))&gt;0),EDATE($D226,N(INDEX('Intervals'!$D$4:$D$33,MATCH($B226,'Intervals'!$A$4:$A$33,0)))),""),""))</f>
        <v/>
      </c>
      <c r="H226" s="19">
        <f>IF($A226="","",IFERROR(IF(N(INDEX('Cars'!$H$4:$H$103,MATCH($A226,'Cars'!$A$4:$A$103,0)))&gt;0,INDEX('Cars'!$H$4:$H$103,MATCH($A226,'Cars'!$A$4:$A$103,0)),""),""))</f>
        <v/>
      </c>
      <c r="I226" s="19">
        <f>IF(OR($F226="",$H226=""),"",$F226-$H226)</f>
        <v/>
      </c>
      <c r="J226" s="21">
        <f>IF($G226="","",$G226-TODAY())</f>
        <v/>
      </c>
      <c r="K226" s="21">
        <f>IF($I226="","",IFERROR(IF(N(INDEX('Cars'!$J$4:$J$103,MATCH($A226,'Cars'!$A$4:$A$103,0)))&gt;0,ROUND($I226/INDEX('Cars'!$J$4:$J$103,MATCH($A226,'Cars'!$A$4:$A$103,0))*30,0),""),""))</f>
        <v/>
      </c>
      <c r="L226" s="21">
        <f>IF(AND($J226="",$K226=""),"",MIN(IF($J226="",99999,$J226),IF($K226="",99999,$K226)))</f>
        <v/>
      </c>
      <c r="M226" s="16">
        <f>IF(AND($I226="",$J226=""),"",IF(OR(AND($I226&lt;&gt;"",N($I226)&lt;0),AND($J226&lt;&gt;"",N($J226)&lt;0)),"Overdue",IF(OR(AND($I226&lt;&gt;"",N($I226)&lt;=IFERROR(INDEX('Intervals'!$E$4:$E$33,MATCH($B226,'Intervals'!$A$4:$A$33,0)),500)),AND($J226&lt;&gt;"",N($J226)&lt;=IFERROR(INDEX('Intervals'!$F$4:$F$33,MATCH($B226,'Intervals'!$A$4:$A$33,0)),14))),"Due soon","OK")))</f>
        <v/>
      </c>
      <c r="N226" s="15" t="n"/>
      <c r="O226" s="22">
        <f>IF(OR($M226="",$M226="OK"),"",$L226+ROW()/100000)</f>
        <v/>
      </c>
    </row>
    <row r="227">
      <c r="A227" s="15" t="n"/>
      <c r="B227" s="15" t="n"/>
      <c r="C227" s="16">
        <f>IF($B227="","",IFERROR(INDEX('Intervals'!$B$4:$B$33,MATCH($B227,'Intervals'!$A$4:$A$33,0)),""))</f>
        <v/>
      </c>
      <c r="D227" s="17" t="n"/>
      <c r="E227" s="18" t="n"/>
      <c r="F227" s="19">
        <f>IF(OR($B227="",$E227=""),"",IFERROR(IF(AND(INDEX('Intervals'!$G$4:$G$33,MATCH($B227,'Intervals'!$A$4:$A$33,0))&lt;&gt;"No",N(INDEX('Intervals'!$C$4:$C$33,MATCH($B227,'Intervals'!$A$4:$A$33,0)))&gt;0),$E227+N(INDEX('Intervals'!$C$4:$C$33,MATCH($B227,'Intervals'!$A$4:$A$33,0))),""),""))</f>
        <v/>
      </c>
      <c r="G227" s="20">
        <f>IF(OR($B227="",$D227=""),"",IFERROR(IF(AND(INDEX('Intervals'!$G$4:$G$33,MATCH($B227,'Intervals'!$A$4:$A$33,0))&lt;&gt;"No",N(INDEX('Intervals'!$D$4:$D$33,MATCH($B227,'Intervals'!$A$4:$A$33,0)))&gt;0),EDATE($D227,N(INDEX('Intervals'!$D$4:$D$33,MATCH($B227,'Intervals'!$A$4:$A$33,0)))),""),""))</f>
        <v/>
      </c>
      <c r="H227" s="19">
        <f>IF($A227="","",IFERROR(IF(N(INDEX('Cars'!$H$4:$H$103,MATCH($A227,'Cars'!$A$4:$A$103,0)))&gt;0,INDEX('Cars'!$H$4:$H$103,MATCH($A227,'Cars'!$A$4:$A$103,0)),""),""))</f>
        <v/>
      </c>
      <c r="I227" s="19">
        <f>IF(OR($F227="",$H227=""),"",$F227-$H227)</f>
        <v/>
      </c>
      <c r="J227" s="21">
        <f>IF($G227="","",$G227-TODAY())</f>
        <v/>
      </c>
      <c r="K227" s="21">
        <f>IF($I227="","",IFERROR(IF(N(INDEX('Cars'!$J$4:$J$103,MATCH($A227,'Cars'!$A$4:$A$103,0)))&gt;0,ROUND($I227/INDEX('Cars'!$J$4:$J$103,MATCH($A227,'Cars'!$A$4:$A$103,0))*30,0),""),""))</f>
        <v/>
      </c>
      <c r="L227" s="21">
        <f>IF(AND($J227="",$K227=""),"",MIN(IF($J227="",99999,$J227),IF($K227="",99999,$K227)))</f>
        <v/>
      </c>
      <c r="M227" s="16">
        <f>IF(AND($I227="",$J227=""),"",IF(OR(AND($I227&lt;&gt;"",N($I227)&lt;0),AND($J227&lt;&gt;"",N($J227)&lt;0)),"Overdue",IF(OR(AND($I227&lt;&gt;"",N($I227)&lt;=IFERROR(INDEX('Intervals'!$E$4:$E$33,MATCH($B227,'Intervals'!$A$4:$A$33,0)),500)),AND($J227&lt;&gt;"",N($J227)&lt;=IFERROR(INDEX('Intervals'!$F$4:$F$33,MATCH($B227,'Intervals'!$A$4:$A$33,0)),14))),"Due soon","OK")))</f>
        <v/>
      </c>
      <c r="N227" s="15" t="n"/>
      <c r="O227" s="22">
        <f>IF(OR($M227="",$M227="OK"),"",$L227+ROW()/100000)</f>
        <v/>
      </c>
    </row>
    <row r="228">
      <c r="A228" s="15" t="n"/>
      <c r="B228" s="15" t="n"/>
      <c r="C228" s="16">
        <f>IF($B228="","",IFERROR(INDEX('Intervals'!$B$4:$B$33,MATCH($B228,'Intervals'!$A$4:$A$33,0)),""))</f>
        <v/>
      </c>
      <c r="D228" s="17" t="n"/>
      <c r="E228" s="18" t="n"/>
      <c r="F228" s="19">
        <f>IF(OR($B228="",$E228=""),"",IFERROR(IF(AND(INDEX('Intervals'!$G$4:$G$33,MATCH($B228,'Intervals'!$A$4:$A$33,0))&lt;&gt;"No",N(INDEX('Intervals'!$C$4:$C$33,MATCH($B228,'Intervals'!$A$4:$A$33,0)))&gt;0),$E228+N(INDEX('Intervals'!$C$4:$C$33,MATCH($B228,'Intervals'!$A$4:$A$33,0))),""),""))</f>
        <v/>
      </c>
      <c r="G228" s="20">
        <f>IF(OR($B228="",$D228=""),"",IFERROR(IF(AND(INDEX('Intervals'!$G$4:$G$33,MATCH($B228,'Intervals'!$A$4:$A$33,0))&lt;&gt;"No",N(INDEX('Intervals'!$D$4:$D$33,MATCH($B228,'Intervals'!$A$4:$A$33,0)))&gt;0),EDATE($D228,N(INDEX('Intervals'!$D$4:$D$33,MATCH($B228,'Intervals'!$A$4:$A$33,0)))),""),""))</f>
        <v/>
      </c>
      <c r="H228" s="19">
        <f>IF($A228="","",IFERROR(IF(N(INDEX('Cars'!$H$4:$H$103,MATCH($A228,'Cars'!$A$4:$A$103,0)))&gt;0,INDEX('Cars'!$H$4:$H$103,MATCH($A228,'Cars'!$A$4:$A$103,0)),""),""))</f>
        <v/>
      </c>
      <c r="I228" s="19">
        <f>IF(OR($F228="",$H228=""),"",$F228-$H228)</f>
        <v/>
      </c>
      <c r="J228" s="21">
        <f>IF($G228="","",$G228-TODAY())</f>
        <v/>
      </c>
      <c r="K228" s="21">
        <f>IF($I228="","",IFERROR(IF(N(INDEX('Cars'!$J$4:$J$103,MATCH($A228,'Cars'!$A$4:$A$103,0)))&gt;0,ROUND($I228/INDEX('Cars'!$J$4:$J$103,MATCH($A228,'Cars'!$A$4:$A$103,0))*30,0),""),""))</f>
        <v/>
      </c>
      <c r="L228" s="21">
        <f>IF(AND($J228="",$K228=""),"",MIN(IF($J228="",99999,$J228),IF($K228="",99999,$K228)))</f>
        <v/>
      </c>
      <c r="M228" s="16">
        <f>IF(AND($I228="",$J228=""),"",IF(OR(AND($I228&lt;&gt;"",N($I228)&lt;0),AND($J228&lt;&gt;"",N($J228)&lt;0)),"Overdue",IF(OR(AND($I228&lt;&gt;"",N($I228)&lt;=IFERROR(INDEX('Intervals'!$E$4:$E$33,MATCH($B228,'Intervals'!$A$4:$A$33,0)),500)),AND($J228&lt;&gt;"",N($J228)&lt;=IFERROR(INDEX('Intervals'!$F$4:$F$33,MATCH($B228,'Intervals'!$A$4:$A$33,0)),14))),"Due soon","OK")))</f>
        <v/>
      </c>
      <c r="N228" s="15" t="n"/>
      <c r="O228" s="22">
        <f>IF(OR($M228="",$M228="OK"),"",$L228+ROW()/100000)</f>
        <v/>
      </c>
    </row>
    <row r="229">
      <c r="A229" s="15" t="n"/>
      <c r="B229" s="15" t="n"/>
      <c r="C229" s="16">
        <f>IF($B229="","",IFERROR(INDEX('Intervals'!$B$4:$B$33,MATCH($B229,'Intervals'!$A$4:$A$33,0)),""))</f>
        <v/>
      </c>
      <c r="D229" s="17" t="n"/>
      <c r="E229" s="18" t="n"/>
      <c r="F229" s="19">
        <f>IF(OR($B229="",$E229=""),"",IFERROR(IF(AND(INDEX('Intervals'!$G$4:$G$33,MATCH($B229,'Intervals'!$A$4:$A$33,0))&lt;&gt;"No",N(INDEX('Intervals'!$C$4:$C$33,MATCH($B229,'Intervals'!$A$4:$A$33,0)))&gt;0),$E229+N(INDEX('Intervals'!$C$4:$C$33,MATCH($B229,'Intervals'!$A$4:$A$33,0))),""),""))</f>
        <v/>
      </c>
      <c r="G229" s="20">
        <f>IF(OR($B229="",$D229=""),"",IFERROR(IF(AND(INDEX('Intervals'!$G$4:$G$33,MATCH($B229,'Intervals'!$A$4:$A$33,0))&lt;&gt;"No",N(INDEX('Intervals'!$D$4:$D$33,MATCH($B229,'Intervals'!$A$4:$A$33,0)))&gt;0),EDATE($D229,N(INDEX('Intervals'!$D$4:$D$33,MATCH($B229,'Intervals'!$A$4:$A$33,0)))),""),""))</f>
        <v/>
      </c>
      <c r="H229" s="19">
        <f>IF($A229="","",IFERROR(IF(N(INDEX('Cars'!$H$4:$H$103,MATCH($A229,'Cars'!$A$4:$A$103,0)))&gt;0,INDEX('Cars'!$H$4:$H$103,MATCH($A229,'Cars'!$A$4:$A$103,0)),""),""))</f>
        <v/>
      </c>
      <c r="I229" s="19">
        <f>IF(OR($F229="",$H229=""),"",$F229-$H229)</f>
        <v/>
      </c>
      <c r="J229" s="21">
        <f>IF($G229="","",$G229-TODAY())</f>
        <v/>
      </c>
      <c r="K229" s="21">
        <f>IF($I229="","",IFERROR(IF(N(INDEX('Cars'!$J$4:$J$103,MATCH($A229,'Cars'!$A$4:$A$103,0)))&gt;0,ROUND($I229/INDEX('Cars'!$J$4:$J$103,MATCH($A229,'Cars'!$A$4:$A$103,0))*30,0),""),""))</f>
        <v/>
      </c>
      <c r="L229" s="21">
        <f>IF(AND($J229="",$K229=""),"",MIN(IF($J229="",99999,$J229),IF($K229="",99999,$K229)))</f>
        <v/>
      </c>
      <c r="M229" s="16">
        <f>IF(AND($I229="",$J229=""),"",IF(OR(AND($I229&lt;&gt;"",N($I229)&lt;0),AND($J229&lt;&gt;"",N($J229)&lt;0)),"Overdue",IF(OR(AND($I229&lt;&gt;"",N($I229)&lt;=IFERROR(INDEX('Intervals'!$E$4:$E$33,MATCH($B229,'Intervals'!$A$4:$A$33,0)),500)),AND($J229&lt;&gt;"",N($J229)&lt;=IFERROR(INDEX('Intervals'!$F$4:$F$33,MATCH($B229,'Intervals'!$A$4:$A$33,0)),14))),"Due soon","OK")))</f>
        <v/>
      </c>
      <c r="N229" s="15" t="n"/>
      <c r="O229" s="22">
        <f>IF(OR($M229="",$M229="OK"),"",$L229+ROW()/100000)</f>
        <v/>
      </c>
    </row>
    <row r="230">
      <c r="A230" s="15" t="n"/>
      <c r="B230" s="15" t="n"/>
      <c r="C230" s="16">
        <f>IF($B230="","",IFERROR(INDEX('Intervals'!$B$4:$B$33,MATCH($B230,'Intervals'!$A$4:$A$33,0)),""))</f>
        <v/>
      </c>
      <c r="D230" s="17" t="n"/>
      <c r="E230" s="18" t="n"/>
      <c r="F230" s="19">
        <f>IF(OR($B230="",$E230=""),"",IFERROR(IF(AND(INDEX('Intervals'!$G$4:$G$33,MATCH($B230,'Intervals'!$A$4:$A$33,0))&lt;&gt;"No",N(INDEX('Intervals'!$C$4:$C$33,MATCH($B230,'Intervals'!$A$4:$A$33,0)))&gt;0),$E230+N(INDEX('Intervals'!$C$4:$C$33,MATCH($B230,'Intervals'!$A$4:$A$33,0))),""),""))</f>
        <v/>
      </c>
      <c r="G230" s="20">
        <f>IF(OR($B230="",$D230=""),"",IFERROR(IF(AND(INDEX('Intervals'!$G$4:$G$33,MATCH($B230,'Intervals'!$A$4:$A$33,0))&lt;&gt;"No",N(INDEX('Intervals'!$D$4:$D$33,MATCH($B230,'Intervals'!$A$4:$A$33,0)))&gt;0),EDATE($D230,N(INDEX('Intervals'!$D$4:$D$33,MATCH($B230,'Intervals'!$A$4:$A$33,0)))),""),""))</f>
        <v/>
      </c>
      <c r="H230" s="19">
        <f>IF($A230="","",IFERROR(IF(N(INDEX('Cars'!$H$4:$H$103,MATCH($A230,'Cars'!$A$4:$A$103,0)))&gt;0,INDEX('Cars'!$H$4:$H$103,MATCH($A230,'Cars'!$A$4:$A$103,0)),""),""))</f>
        <v/>
      </c>
      <c r="I230" s="19">
        <f>IF(OR($F230="",$H230=""),"",$F230-$H230)</f>
        <v/>
      </c>
      <c r="J230" s="21">
        <f>IF($G230="","",$G230-TODAY())</f>
        <v/>
      </c>
      <c r="K230" s="21">
        <f>IF($I230="","",IFERROR(IF(N(INDEX('Cars'!$J$4:$J$103,MATCH($A230,'Cars'!$A$4:$A$103,0)))&gt;0,ROUND($I230/INDEX('Cars'!$J$4:$J$103,MATCH($A230,'Cars'!$A$4:$A$103,0))*30,0),""),""))</f>
        <v/>
      </c>
      <c r="L230" s="21">
        <f>IF(AND($J230="",$K230=""),"",MIN(IF($J230="",99999,$J230),IF($K230="",99999,$K230)))</f>
        <v/>
      </c>
      <c r="M230" s="16">
        <f>IF(AND($I230="",$J230=""),"",IF(OR(AND($I230&lt;&gt;"",N($I230)&lt;0),AND($J230&lt;&gt;"",N($J230)&lt;0)),"Overdue",IF(OR(AND($I230&lt;&gt;"",N($I230)&lt;=IFERROR(INDEX('Intervals'!$E$4:$E$33,MATCH($B230,'Intervals'!$A$4:$A$33,0)),500)),AND($J230&lt;&gt;"",N($J230)&lt;=IFERROR(INDEX('Intervals'!$F$4:$F$33,MATCH($B230,'Intervals'!$A$4:$A$33,0)),14))),"Due soon","OK")))</f>
        <v/>
      </c>
      <c r="N230" s="15" t="n"/>
      <c r="O230" s="22">
        <f>IF(OR($M230="",$M230="OK"),"",$L230+ROW()/100000)</f>
        <v/>
      </c>
    </row>
    <row r="231">
      <c r="A231" s="15" t="n"/>
      <c r="B231" s="15" t="n"/>
      <c r="C231" s="16">
        <f>IF($B231="","",IFERROR(INDEX('Intervals'!$B$4:$B$33,MATCH($B231,'Intervals'!$A$4:$A$33,0)),""))</f>
        <v/>
      </c>
      <c r="D231" s="17" t="n"/>
      <c r="E231" s="18" t="n"/>
      <c r="F231" s="19">
        <f>IF(OR($B231="",$E231=""),"",IFERROR(IF(AND(INDEX('Intervals'!$G$4:$G$33,MATCH($B231,'Intervals'!$A$4:$A$33,0))&lt;&gt;"No",N(INDEX('Intervals'!$C$4:$C$33,MATCH($B231,'Intervals'!$A$4:$A$33,0)))&gt;0),$E231+N(INDEX('Intervals'!$C$4:$C$33,MATCH($B231,'Intervals'!$A$4:$A$33,0))),""),""))</f>
        <v/>
      </c>
      <c r="G231" s="20">
        <f>IF(OR($B231="",$D231=""),"",IFERROR(IF(AND(INDEX('Intervals'!$G$4:$G$33,MATCH($B231,'Intervals'!$A$4:$A$33,0))&lt;&gt;"No",N(INDEX('Intervals'!$D$4:$D$33,MATCH($B231,'Intervals'!$A$4:$A$33,0)))&gt;0),EDATE($D231,N(INDEX('Intervals'!$D$4:$D$33,MATCH($B231,'Intervals'!$A$4:$A$33,0)))),""),""))</f>
        <v/>
      </c>
      <c r="H231" s="19">
        <f>IF($A231="","",IFERROR(IF(N(INDEX('Cars'!$H$4:$H$103,MATCH($A231,'Cars'!$A$4:$A$103,0)))&gt;0,INDEX('Cars'!$H$4:$H$103,MATCH($A231,'Cars'!$A$4:$A$103,0)),""),""))</f>
        <v/>
      </c>
      <c r="I231" s="19">
        <f>IF(OR($F231="",$H231=""),"",$F231-$H231)</f>
        <v/>
      </c>
      <c r="J231" s="21">
        <f>IF($G231="","",$G231-TODAY())</f>
        <v/>
      </c>
      <c r="K231" s="21">
        <f>IF($I231="","",IFERROR(IF(N(INDEX('Cars'!$J$4:$J$103,MATCH($A231,'Cars'!$A$4:$A$103,0)))&gt;0,ROUND($I231/INDEX('Cars'!$J$4:$J$103,MATCH($A231,'Cars'!$A$4:$A$103,0))*30,0),""),""))</f>
        <v/>
      </c>
      <c r="L231" s="21">
        <f>IF(AND($J231="",$K231=""),"",MIN(IF($J231="",99999,$J231),IF($K231="",99999,$K231)))</f>
        <v/>
      </c>
      <c r="M231" s="16">
        <f>IF(AND($I231="",$J231=""),"",IF(OR(AND($I231&lt;&gt;"",N($I231)&lt;0),AND($J231&lt;&gt;"",N($J231)&lt;0)),"Overdue",IF(OR(AND($I231&lt;&gt;"",N($I231)&lt;=IFERROR(INDEX('Intervals'!$E$4:$E$33,MATCH($B231,'Intervals'!$A$4:$A$33,0)),500)),AND($J231&lt;&gt;"",N($J231)&lt;=IFERROR(INDEX('Intervals'!$F$4:$F$33,MATCH($B231,'Intervals'!$A$4:$A$33,0)),14))),"Due soon","OK")))</f>
        <v/>
      </c>
      <c r="N231" s="15" t="n"/>
      <c r="O231" s="22">
        <f>IF(OR($M231="",$M231="OK"),"",$L231+ROW()/100000)</f>
        <v/>
      </c>
    </row>
    <row r="232">
      <c r="A232" s="15" t="n"/>
      <c r="B232" s="15" t="n"/>
      <c r="C232" s="16">
        <f>IF($B232="","",IFERROR(INDEX('Intervals'!$B$4:$B$33,MATCH($B232,'Intervals'!$A$4:$A$33,0)),""))</f>
        <v/>
      </c>
      <c r="D232" s="17" t="n"/>
      <c r="E232" s="18" t="n"/>
      <c r="F232" s="19">
        <f>IF(OR($B232="",$E232=""),"",IFERROR(IF(AND(INDEX('Intervals'!$G$4:$G$33,MATCH($B232,'Intervals'!$A$4:$A$33,0))&lt;&gt;"No",N(INDEX('Intervals'!$C$4:$C$33,MATCH($B232,'Intervals'!$A$4:$A$33,0)))&gt;0),$E232+N(INDEX('Intervals'!$C$4:$C$33,MATCH($B232,'Intervals'!$A$4:$A$33,0))),""),""))</f>
        <v/>
      </c>
      <c r="G232" s="20">
        <f>IF(OR($B232="",$D232=""),"",IFERROR(IF(AND(INDEX('Intervals'!$G$4:$G$33,MATCH($B232,'Intervals'!$A$4:$A$33,0))&lt;&gt;"No",N(INDEX('Intervals'!$D$4:$D$33,MATCH($B232,'Intervals'!$A$4:$A$33,0)))&gt;0),EDATE($D232,N(INDEX('Intervals'!$D$4:$D$33,MATCH($B232,'Intervals'!$A$4:$A$33,0)))),""),""))</f>
        <v/>
      </c>
      <c r="H232" s="19">
        <f>IF($A232="","",IFERROR(IF(N(INDEX('Cars'!$H$4:$H$103,MATCH($A232,'Cars'!$A$4:$A$103,0)))&gt;0,INDEX('Cars'!$H$4:$H$103,MATCH($A232,'Cars'!$A$4:$A$103,0)),""),""))</f>
        <v/>
      </c>
      <c r="I232" s="19">
        <f>IF(OR($F232="",$H232=""),"",$F232-$H232)</f>
        <v/>
      </c>
      <c r="J232" s="21">
        <f>IF($G232="","",$G232-TODAY())</f>
        <v/>
      </c>
      <c r="K232" s="21">
        <f>IF($I232="","",IFERROR(IF(N(INDEX('Cars'!$J$4:$J$103,MATCH($A232,'Cars'!$A$4:$A$103,0)))&gt;0,ROUND($I232/INDEX('Cars'!$J$4:$J$103,MATCH($A232,'Cars'!$A$4:$A$103,0))*30,0),""),""))</f>
        <v/>
      </c>
      <c r="L232" s="21">
        <f>IF(AND($J232="",$K232=""),"",MIN(IF($J232="",99999,$J232),IF($K232="",99999,$K232)))</f>
        <v/>
      </c>
      <c r="M232" s="16">
        <f>IF(AND($I232="",$J232=""),"",IF(OR(AND($I232&lt;&gt;"",N($I232)&lt;0),AND($J232&lt;&gt;"",N($J232)&lt;0)),"Overdue",IF(OR(AND($I232&lt;&gt;"",N($I232)&lt;=IFERROR(INDEX('Intervals'!$E$4:$E$33,MATCH($B232,'Intervals'!$A$4:$A$33,0)),500)),AND($J232&lt;&gt;"",N($J232)&lt;=IFERROR(INDEX('Intervals'!$F$4:$F$33,MATCH($B232,'Intervals'!$A$4:$A$33,0)),14))),"Due soon","OK")))</f>
        <v/>
      </c>
      <c r="N232" s="15" t="n"/>
      <c r="O232" s="22">
        <f>IF(OR($M232="",$M232="OK"),"",$L232+ROW()/100000)</f>
        <v/>
      </c>
    </row>
    <row r="233">
      <c r="A233" s="15" t="n"/>
      <c r="B233" s="15" t="n"/>
      <c r="C233" s="16">
        <f>IF($B233="","",IFERROR(INDEX('Intervals'!$B$4:$B$33,MATCH($B233,'Intervals'!$A$4:$A$33,0)),""))</f>
        <v/>
      </c>
      <c r="D233" s="17" t="n"/>
      <c r="E233" s="18" t="n"/>
      <c r="F233" s="19">
        <f>IF(OR($B233="",$E233=""),"",IFERROR(IF(AND(INDEX('Intervals'!$G$4:$G$33,MATCH($B233,'Intervals'!$A$4:$A$33,0))&lt;&gt;"No",N(INDEX('Intervals'!$C$4:$C$33,MATCH($B233,'Intervals'!$A$4:$A$33,0)))&gt;0),$E233+N(INDEX('Intervals'!$C$4:$C$33,MATCH($B233,'Intervals'!$A$4:$A$33,0))),""),""))</f>
        <v/>
      </c>
      <c r="G233" s="20">
        <f>IF(OR($B233="",$D233=""),"",IFERROR(IF(AND(INDEX('Intervals'!$G$4:$G$33,MATCH($B233,'Intervals'!$A$4:$A$33,0))&lt;&gt;"No",N(INDEX('Intervals'!$D$4:$D$33,MATCH($B233,'Intervals'!$A$4:$A$33,0)))&gt;0),EDATE($D233,N(INDEX('Intervals'!$D$4:$D$33,MATCH($B233,'Intervals'!$A$4:$A$33,0)))),""),""))</f>
        <v/>
      </c>
      <c r="H233" s="19">
        <f>IF($A233="","",IFERROR(IF(N(INDEX('Cars'!$H$4:$H$103,MATCH($A233,'Cars'!$A$4:$A$103,0)))&gt;0,INDEX('Cars'!$H$4:$H$103,MATCH($A233,'Cars'!$A$4:$A$103,0)),""),""))</f>
        <v/>
      </c>
      <c r="I233" s="19">
        <f>IF(OR($F233="",$H233=""),"",$F233-$H233)</f>
        <v/>
      </c>
      <c r="J233" s="21">
        <f>IF($G233="","",$G233-TODAY())</f>
        <v/>
      </c>
      <c r="K233" s="21">
        <f>IF($I233="","",IFERROR(IF(N(INDEX('Cars'!$J$4:$J$103,MATCH($A233,'Cars'!$A$4:$A$103,0)))&gt;0,ROUND($I233/INDEX('Cars'!$J$4:$J$103,MATCH($A233,'Cars'!$A$4:$A$103,0))*30,0),""),""))</f>
        <v/>
      </c>
      <c r="L233" s="21">
        <f>IF(AND($J233="",$K233=""),"",MIN(IF($J233="",99999,$J233),IF($K233="",99999,$K233)))</f>
        <v/>
      </c>
      <c r="M233" s="16">
        <f>IF(AND($I233="",$J233=""),"",IF(OR(AND($I233&lt;&gt;"",N($I233)&lt;0),AND($J233&lt;&gt;"",N($J233)&lt;0)),"Overdue",IF(OR(AND($I233&lt;&gt;"",N($I233)&lt;=IFERROR(INDEX('Intervals'!$E$4:$E$33,MATCH($B233,'Intervals'!$A$4:$A$33,0)),500)),AND($J233&lt;&gt;"",N($J233)&lt;=IFERROR(INDEX('Intervals'!$F$4:$F$33,MATCH($B233,'Intervals'!$A$4:$A$33,0)),14))),"Due soon","OK")))</f>
        <v/>
      </c>
      <c r="N233" s="15" t="n"/>
      <c r="O233" s="22">
        <f>IF(OR($M233="",$M233="OK"),"",$L233+ROW()/100000)</f>
        <v/>
      </c>
    </row>
    <row r="234">
      <c r="A234" s="15" t="n"/>
      <c r="B234" s="15" t="n"/>
      <c r="C234" s="16">
        <f>IF($B234="","",IFERROR(INDEX('Intervals'!$B$4:$B$33,MATCH($B234,'Intervals'!$A$4:$A$33,0)),""))</f>
        <v/>
      </c>
      <c r="D234" s="17" t="n"/>
      <c r="E234" s="18" t="n"/>
      <c r="F234" s="19">
        <f>IF(OR($B234="",$E234=""),"",IFERROR(IF(AND(INDEX('Intervals'!$G$4:$G$33,MATCH($B234,'Intervals'!$A$4:$A$33,0))&lt;&gt;"No",N(INDEX('Intervals'!$C$4:$C$33,MATCH($B234,'Intervals'!$A$4:$A$33,0)))&gt;0),$E234+N(INDEX('Intervals'!$C$4:$C$33,MATCH($B234,'Intervals'!$A$4:$A$33,0))),""),""))</f>
        <v/>
      </c>
      <c r="G234" s="20">
        <f>IF(OR($B234="",$D234=""),"",IFERROR(IF(AND(INDEX('Intervals'!$G$4:$G$33,MATCH($B234,'Intervals'!$A$4:$A$33,0))&lt;&gt;"No",N(INDEX('Intervals'!$D$4:$D$33,MATCH($B234,'Intervals'!$A$4:$A$33,0)))&gt;0),EDATE($D234,N(INDEX('Intervals'!$D$4:$D$33,MATCH($B234,'Intervals'!$A$4:$A$33,0)))),""),""))</f>
        <v/>
      </c>
      <c r="H234" s="19">
        <f>IF($A234="","",IFERROR(IF(N(INDEX('Cars'!$H$4:$H$103,MATCH($A234,'Cars'!$A$4:$A$103,0)))&gt;0,INDEX('Cars'!$H$4:$H$103,MATCH($A234,'Cars'!$A$4:$A$103,0)),""),""))</f>
        <v/>
      </c>
      <c r="I234" s="19">
        <f>IF(OR($F234="",$H234=""),"",$F234-$H234)</f>
        <v/>
      </c>
      <c r="J234" s="21">
        <f>IF($G234="","",$G234-TODAY())</f>
        <v/>
      </c>
      <c r="K234" s="21">
        <f>IF($I234="","",IFERROR(IF(N(INDEX('Cars'!$J$4:$J$103,MATCH($A234,'Cars'!$A$4:$A$103,0)))&gt;0,ROUND($I234/INDEX('Cars'!$J$4:$J$103,MATCH($A234,'Cars'!$A$4:$A$103,0))*30,0),""),""))</f>
        <v/>
      </c>
      <c r="L234" s="21">
        <f>IF(AND($J234="",$K234=""),"",MIN(IF($J234="",99999,$J234),IF($K234="",99999,$K234)))</f>
        <v/>
      </c>
      <c r="M234" s="16">
        <f>IF(AND($I234="",$J234=""),"",IF(OR(AND($I234&lt;&gt;"",N($I234)&lt;0),AND($J234&lt;&gt;"",N($J234)&lt;0)),"Overdue",IF(OR(AND($I234&lt;&gt;"",N($I234)&lt;=IFERROR(INDEX('Intervals'!$E$4:$E$33,MATCH($B234,'Intervals'!$A$4:$A$33,0)),500)),AND($J234&lt;&gt;"",N($J234)&lt;=IFERROR(INDEX('Intervals'!$F$4:$F$33,MATCH($B234,'Intervals'!$A$4:$A$33,0)),14))),"Due soon","OK")))</f>
        <v/>
      </c>
      <c r="N234" s="15" t="n"/>
      <c r="O234" s="22">
        <f>IF(OR($M234="",$M234="OK"),"",$L234+ROW()/100000)</f>
        <v/>
      </c>
    </row>
    <row r="235">
      <c r="A235" s="15" t="n"/>
      <c r="B235" s="15" t="n"/>
      <c r="C235" s="16">
        <f>IF($B235="","",IFERROR(INDEX('Intervals'!$B$4:$B$33,MATCH($B235,'Intervals'!$A$4:$A$33,0)),""))</f>
        <v/>
      </c>
      <c r="D235" s="17" t="n"/>
      <c r="E235" s="18" t="n"/>
      <c r="F235" s="19">
        <f>IF(OR($B235="",$E235=""),"",IFERROR(IF(AND(INDEX('Intervals'!$G$4:$G$33,MATCH($B235,'Intervals'!$A$4:$A$33,0))&lt;&gt;"No",N(INDEX('Intervals'!$C$4:$C$33,MATCH($B235,'Intervals'!$A$4:$A$33,0)))&gt;0),$E235+N(INDEX('Intervals'!$C$4:$C$33,MATCH($B235,'Intervals'!$A$4:$A$33,0))),""),""))</f>
        <v/>
      </c>
      <c r="G235" s="20">
        <f>IF(OR($B235="",$D235=""),"",IFERROR(IF(AND(INDEX('Intervals'!$G$4:$G$33,MATCH($B235,'Intervals'!$A$4:$A$33,0))&lt;&gt;"No",N(INDEX('Intervals'!$D$4:$D$33,MATCH($B235,'Intervals'!$A$4:$A$33,0)))&gt;0),EDATE($D235,N(INDEX('Intervals'!$D$4:$D$33,MATCH($B235,'Intervals'!$A$4:$A$33,0)))),""),""))</f>
        <v/>
      </c>
      <c r="H235" s="19">
        <f>IF($A235="","",IFERROR(IF(N(INDEX('Cars'!$H$4:$H$103,MATCH($A235,'Cars'!$A$4:$A$103,0)))&gt;0,INDEX('Cars'!$H$4:$H$103,MATCH($A235,'Cars'!$A$4:$A$103,0)),""),""))</f>
        <v/>
      </c>
      <c r="I235" s="19">
        <f>IF(OR($F235="",$H235=""),"",$F235-$H235)</f>
        <v/>
      </c>
      <c r="J235" s="21">
        <f>IF($G235="","",$G235-TODAY())</f>
        <v/>
      </c>
      <c r="K235" s="21">
        <f>IF($I235="","",IFERROR(IF(N(INDEX('Cars'!$J$4:$J$103,MATCH($A235,'Cars'!$A$4:$A$103,0)))&gt;0,ROUND($I235/INDEX('Cars'!$J$4:$J$103,MATCH($A235,'Cars'!$A$4:$A$103,0))*30,0),""),""))</f>
        <v/>
      </c>
      <c r="L235" s="21">
        <f>IF(AND($J235="",$K235=""),"",MIN(IF($J235="",99999,$J235),IF($K235="",99999,$K235)))</f>
        <v/>
      </c>
      <c r="M235" s="16">
        <f>IF(AND($I235="",$J235=""),"",IF(OR(AND($I235&lt;&gt;"",N($I235)&lt;0),AND($J235&lt;&gt;"",N($J235)&lt;0)),"Overdue",IF(OR(AND($I235&lt;&gt;"",N($I235)&lt;=IFERROR(INDEX('Intervals'!$E$4:$E$33,MATCH($B235,'Intervals'!$A$4:$A$33,0)),500)),AND($J235&lt;&gt;"",N($J235)&lt;=IFERROR(INDEX('Intervals'!$F$4:$F$33,MATCH($B235,'Intervals'!$A$4:$A$33,0)),14))),"Due soon","OK")))</f>
        <v/>
      </c>
      <c r="N235" s="15" t="n"/>
      <c r="O235" s="22">
        <f>IF(OR($M235="",$M235="OK"),"",$L235+ROW()/100000)</f>
        <v/>
      </c>
    </row>
    <row r="236">
      <c r="A236" s="15" t="n"/>
      <c r="B236" s="15" t="n"/>
      <c r="C236" s="16">
        <f>IF($B236="","",IFERROR(INDEX('Intervals'!$B$4:$B$33,MATCH($B236,'Intervals'!$A$4:$A$33,0)),""))</f>
        <v/>
      </c>
      <c r="D236" s="17" t="n"/>
      <c r="E236" s="18" t="n"/>
      <c r="F236" s="19">
        <f>IF(OR($B236="",$E236=""),"",IFERROR(IF(AND(INDEX('Intervals'!$G$4:$G$33,MATCH($B236,'Intervals'!$A$4:$A$33,0))&lt;&gt;"No",N(INDEX('Intervals'!$C$4:$C$33,MATCH($B236,'Intervals'!$A$4:$A$33,0)))&gt;0),$E236+N(INDEX('Intervals'!$C$4:$C$33,MATCH($B236,'Intervals'!$A$4:$A$33,0))),""),""))</f>
        <v/>
      </c>
      <c r="G236" s="20">
        <f>IF(OR($B236="",$D236=""),"",IFERROR(IF(AND(INDEX('Intervals'!$G$4:$G$33,MATCH($B236,'Intervals'!$A$4:$A$33,0))&lt;&gt;"No",N(INDEX('Intervals'!$D$4:$D$33,MATCH($B236,'Intervals'!$A$4:$A$33,0)))&gt;0),EDATE($D236,N(INDEX('Intervals'!$D$4:$D$33,MATCH($B236,'Intervals'!$A$4:$A$33,0)))),""),""))</f>
        <v/>
      </c>
      <c r="H236" s="19">
        <f>IF($A236="","",IFERROR(IF(N(INDEX('Cars'!$H$4:$H$103,MATCH($A236,'Cars'!$A$4:$A$103,0)))&gt;0,INDEX('Cars'!$H$4:$H$103,MATCH($A236,'Cars'!$A$4:$A$103,0)),""),""))</f>
        <v/>
      </c>
      <c r="I236" s="19">
        <f>IF(OR($F236="",$H236=""),"",$F236-$H236)</f>
        <v/>
      </c>
      <c r="J236" s="21">
        <f>IF($G236="","",$G236-TODAY())</f>
        <v/>
      </c>
      <c r="K236" s="21">
        <f>IF($I236="","",IFERROR(IF(N(INDEX('Cars'!$J$4:$J$103,MATCH($A236,'Cars'!$A$4:$A$103,0)))&gt;0,ROUND($I236/INDEX('Cars'!$J$4:$J$103,MATCH($A236,'Cars'!$A$4:$A$103,0))*30,0),""),""))</f>
        <v/>
      </c>
      <c r="L236" s="21">
        <f>IF(AND($J236="",$K236=""),"",MIN(IF($J236="",99999,$J236),IF($K236="",99999,$K236)))</f>
        <v/>
      </c>
      <c r="M236" s="16">
        <f>IF(AND($I236="",$J236=""),"",IF(OR(AND($I236&lt;&gt;"",N($I236)&lt;0),AND($J236&lt;&gt;"",N($J236)&lt;0)),"Overdue",IF(OR(AND($I236&lt;&gt;"",N($I236)&lt;=IFERROR(INDEX('Intervals'!$E$4:$E$33,MATCH($B236,'Intervals'!$A$4:$A$33,0)),500)),AND($J236&lt;&gt;"",N($J236)&lt;=IFERROR(INDEX('Intervals'!$F$4:$F$33,MATCH($B236,'Intervals'!$A$4:$A$33,0)),14))),"Due soon","OK")))</f>
        <v/>
      </c>
      <c r="N236" s="15" t="n"/>
      <c r="O236" s="22">
        <f>IF(OR($M236="",$M236="OK"),"",$L236+ROW()/100000)</f>
        <v/>
      </c>
    </row>
    <row r="237">
      <c r="A237" s="15" t="n"/>
      <c r="B237" s="15" t="n"/>
      <c r="C237" s="16">
        <f>IF($B237="","",IFERROR(INDEX('Intervals'!$B$4:$B$33,MATCH($B237,'Intervals'!$A$4:$A$33,0)),""))</f>
        <v/>
      </c>
      <c r="D237" s="17" t="n"/>
      <c r="E237" s="18" t="n"/>
      <c r="F237" s="19">
        <f>IF(OR($B237="",$E237=""),"",IFERROR(IF(AND(INDEX('Intervals'!$G$4:$G$33,MATCH($B237,'Intervals'!$A$4:$A$33,0))&lt;&gt;"No",N(INDEX('Intervals'!$C$4:$C$33,MATCH($B237,'Intervals'!$A$4:$A$33,0)))&gt;0),$E237+N(INDEX('Intervals'!$C$4:$C$33,MATCH($B237,'Intervals'!$A$4:$A$33,0))),""),""))</f>
        <v/>
      </c>
      <c r="G237" s="20">
        <f>IF(OR($B237="",$D237=""),"",IFERROR(IF(AND(INDEX('Intervals'!$G$4:$G$33,MATCH($B237,'Intervals'!$A$4:$A$33,0))&lt;&gt;"No",N(INDEX('Intervals'!$D$4:$D$33,MATCH($B237,'Intervals'!$A$4:$A$33,0)))&gt;0),EDATE($D237,N(INDEX('Intervals'!$D$4:$D$33,MATCH($B237,'Intervals'!$A$4:$A$33,0)))),""),""))</f>
        <v/>
      </c>
      <c r="H237" s="19">
        <f>IF($A237="","",IFERROR(IF(N(INDEX('Cars'!$H$4:$H$103,MATCH($A237,'Cars'!$A$4:$A$103,0)))&gt;0,INDEX('Cars'!$H$4:$H$103,MATCH($A237,'Cars'!$A$4:$A$103,0)),""),""))</f>
        <v/>
      </c>
      <c r="I237" s="19">
        <f>IF(OR($F237="",$H237=""),"",$F237-$H237)</f>
        <v/>
      </c>
      <c r="J237" s="21">
        <f>IF($G237="","",$G237-TODAY())</f>
        <v/>
      </c>
      <c r="K237" s="21">
        <f>IF($I237="","",IFERROR(IF(N(INDEX('Cars'!$J$4:$J$103,MATCH($A237,'Cars'!$A$4:$A$103,0)))&gt;0,ROUND($I237/INDEX('Cars'!$J$4:$J$103,MATCH($A237,'Cars'!$A$4:$A$103,0))*30,0),""),""))</f>
        <v/>
      </c>
      <c r="L237" s="21">
        <f>IF(AND($J237="",$K237=""),"",MIN(IF($J237="",99999,$J237),IF($K237="",99999,$K237)))</f>
        <v/>
      </c>
      <c r="M237" s="16">
        <f>IF(AND($I237="",$J237=""),"",IF(OR(AND($I237&lt;&gt;"",N($I237)&lt;0),AND($J237&lt;&gt;"",N($J237)&lt;0)),"Overdue",IF(OR(AND($I237&lt;&gt;"",N($I237)&lt;=IFERROR(INDEX('Intervals'!$E$4:$E$33,MATCH($B237,'Intervals'!$A$4:$A$33,0)),500)),AND($J237&lt;&gt;"",N($J237)&lt;=IFERROR(INDEX('Intervals'!$F$4:$F$33,MATCH($B237,'Intervals'!$A$4:$A$33,0)),14))),"Due soon","OK")))</f>
        <v/>
      </c>
      <c r="N237" s="15" t="n"/>
      <c r="O237" s="22">
        <f>IF(OR($M237="",$M237="OK"),"",$L237+ROW()/100000)</f>
        <v/>
      </c>
    </row>
    <row r="238">
      <c r="A238" s="15" t="n"/>
      <c r="B238" s="15" t="n"/>
      <c r="C238" s="16">
        <f>IF($B238="","",IFERROR(INDEX('Intervals'!$B$4:$B$33,MATCH($B238,'Intervals'!$A$4:$A$33,0)),""))</f>
        <v/>
      </c>
      <c r="D238" s="17" t="n"/>
      <c r="E238" s="18" t="n"/>
      <c r="F238" s="19">
        <f>IF(OR($B238="",$E238=""),"",IFERROR(IF(AND(INDEX('Intervals'!$G$4:$G$33,MATCH($B238,'Intervals'!$A$4:$A$33,0))&lt;&gt;"No",N(INDEX('Intervals'!$C$4:$C$33,MATCH($B238,'Intervals'!$A$4:$A$33,0)))&gt;0),$E238+N(INDEX('Intervals'!$C$4:$C$33,MATCH($B238,'Intervals'!$A$4:$A$33,0))),""),""))</f>
        <v/>
      </c>
      <c r="G238" s="20">
        <f>IF(OR($B238="",$D238=""),"",IFERROR(IF(AND(INDEX('Intervals'!$G$4:$G$33,MATCH($B238,'Intervals'!$A$4:$A$33,0))&lt;&gt;"No",N(INDEX('Intervals'!$D$4:$D$33,MATCH($B238,'Intervals'!$A$4:$A$33,0)))&gt;0),EDATE($D238,N(INDEX('Intervals'!$D$4:$D$33,MATCH($B238,'Intervals'!$A$4:$A$33,0)))),""),""))</f>
        <v/>
      </c>
      <c r="H238" s="19">
        <f>IF($A238="","",IFERROR(IF(N(INDEX('Cars'!$H$4:$H$103,MATCH($A238,'Cars'!$A$4:$A$103,0)))&gt;0,INDEX('Cars'!$H$4:$H$103,MATCH($A238,'Cars'!$A$4:$A$103,0)),""),""))</f>
        <v/>
      </c>
      <c r="I238" s="19">
        <f>IF(OR($F238="",$H238=""),"",$F238-$H238)</f>
        <v/>
      </c>
      <c r="J238" s="21">
        <f>IF($G238="","",$G238-TODAY())</f>
        <v/>
      </c>
      <c r="K238" s="21">
        <f>IF($I238="","",IFERROR(IF(N(INDEX('Cars'!$J$4:$J$103,MATCH($A238,'Cars'!$A$4:$A$103,0)))&gt;0,ROUND($I238/INDEX('Cars'!$J$4:$J$103,MATCH($A238,'Cars'!$A$4:$A$103,0))*30,0),""),""))</f>
        <v/>
      </c>
      <c r="L238" s="21">
        <f>IF(AND($J238="",$K238=""),"",MIN(IF($J238="",99999,$J238),IF($K238="",99999,$K238)))</f>
        <v/>
      </c>
      <c r="M238" s="16">
        <f>IF(AND($I238="",$J238=""),"",IF(OR(AND($I238&lt;&gt;"",N($I238)&lt;0),AND($J238&lt;&gt;"",N($J238)&lt;0)),"Overdue",IF(OR(AND($I238&lt;&gt;"",N($I238)&lt;=IFERROR(INDEX('Intervals'!$E$4:$E$33,MATCH($B238,'Intervals'!$A$4:$A$33,0)),500)),AND($J238&lt;&gt;"",N($J238)&lt;=IFERROR(INDEX('Intervals'!$F$4:$F$33,MATCH($B238,'Intervals'!$A$4:$A$33,0)),14))),"Due soon","OK")))</f>
        <v/>
      </c>
      <c r="N238" s="15" t="n"/>
      <c r="O238" s="22">
        <f>IF(OR($M238="",$M238="OK"),"",$L238+ROW()/100000)</f>
        <v/>
      </c>
    </row>
    <row r="239">
      <c r="A239" s="15" t="n"/>
      <c r="B239" s="15" t="n"/>
      <c r="C239" s="16">
        <f>IF($B239="","",IFERROR(INDEX('Intervals'!$B$4:$B$33,MATCH($B239,'Intervals'!$A$4:$A$33,0)),""))</f>
        <v/>
      </c>
      <c r="D239" s="17" t="n"/>
      <c r="E239" s="18" t="n"/>
      <c r="F239" s="19">
        <f>IF(OR($B239="",$E239=""),"",IFERROR(IF(AND(INDEX('Intervals'!$G$4:$G$33,MATCH($B239,'Intervals'!$A$4:$A$33,0))&lt;&gt;"No",N(INDEX('Intervals'!$C$4:$C$33,MATCH($B239,'Intervals'!$A$4:$A$33,0)))&gt;0),$E239+N(INDEX('Intervals'!$C$4:$C$33,MATCH($B239,'Intervals'!$A$4:$A$33,0))),""),""))</f>
        <v/>
      </c>
      <c r="G239" s="20">
        <f>IF(OR($B239="",$D239=""),"",IFERROR(IF(AND(INDEX('Intervals'!$G$4:$G$33,MATCH($B239,'Intervals'!$A$4:$A$33,0))&lt;&gt;"No",N(INDEX('Intervals'!$D$4:$D$33,MATCH($B239,'Intervals'!$A$4:$A$33,0)))&gt;0),EDATE($D239,N(INDEX('Intervals'!$D$4:$D$33,MATCH($B239,'Intervals'!$A$4:$A$33,0)))),""),""))</f>
        <v/>
      </c>
      <c r="H239" s="19">
        <f>IF($A239="","",IFERROR(IF(N(INDEX('Cars'!$H$4:$H$103,MATCH($A239,'Cars'!$A$4:$A$103,0)))&gt;0,INDEX('Cars'!$H$4:$H$103,MATCH($A239,'Cars'!$A$4:$A$103,0)),""),""))</f>
        <v/>
      </c>
      <c r="I239" s="19">
        <f>IF(OR($F239="",$H239=""),"",$F239-$H239)</f>
        <v/>
      </c>
      <c r="J239" s="21">
        <f>IF($G239="","",$G239-TODAY())</f>
        <v/>
      </c>
      <c r="K239" s="21">
        <f>IF($I239="","",IFERROR(IF(N(INDEX('Cars'!$J$4:$J$103,MATCH($A239,'Cars'!$A$4:$A$103,0)))&gt;0,ROUND($I239/INDEX('Cars'!$J$4:$J$103,MATCH($A239,'Cars'!$A$4:$A$103,0))*30,0),""),""))</f>
        <v/>
      </c>
      <c r="L239" s="21">
        <f>IF(AND($J239="",$K239=""),"",MIN(IF($J239="",99999,$J239),IF($K239="",99999,$K239)))</f>
        <v/>
      </c>
      <c r="M239" s="16">
        <f>IF(AND($I239="",$J239=""),"",IF(OR(AND($I239&lt;&gt;"",N($I239)&lt;0),AND($J239&lt;&gt;"",N($J239)&lt;0)),"Overdue",IF(OR(AND($I239&lt;&gt;"",N($I239)&lt;=IFERROR(INDEX('Intervals'!$E$4:$E$33,MATCH($B239,'Intervals'!$A$4:$A$33,0)),500)),AND($J239&lt;&gt;"",N($J239)&lt;=IFERROR(INDEX('Intervals'!$F$4:$F$33,MATCH($B239,'Intervals'!$A$4:$A$33,0)),14))),"Due soon","OK")))</f>
        <v/>
      </c>
      <c r="N239" s="15" t="n"/>
      <c r="O239" s="22">
        <f>IF(OR($M239="",$M239="OK"),"",$L239+ROW()/100000)</f>
        <v/>
      </c>
    </row>
    <row r="240">
      <c r="A240" s="15" t="n"/>
      <c r="B240" s="15" t="n"/>
      <c r="C240" s="16">
        <f>IF($B240="","",IFERROR(INDEX('Intervals'!$B$4:$B$33,MATCH($B240,'Intervals'!$A$4:$A$33,0)),""))</f>
        <v/>
      </c>
      <c r="D240" s="17" t="n"/>
      <c r="E240" s="18" t="n"/>
      <c r="F240" s="19">
        <f>IF(OR($B240="",$E240=""),"",IFERROR(IF(AND(INDEX('Intervals'!$G$4:$G$33,MATCH($B240,'Intervals'!$A$4:$A$33,0))&lt;&gt;"No",N(INDEX('Intervals'!$C$4:$C$33,MATCH($B240,'Intervals'!$A$4:$A$33,0)))&gt;0),$E240+N(INDEX('Intervals'!$C$4:$C$33,MATCH($B240,'Intervals'!$A$4:$A$33,0))),""),""))</f>
        <v/>
      </c>
      <c r="G240" s="20">
        <f>IF(OR($B240="",$D240=""),"",IFERROR(IF(AND(INDEX('Intervals'!$G$4:$G$33,MATCH($B240,'Intervals'!$A$4:$A$33,0))&lt;&gt;"No",N(INDEX('Intervals'!$D$4:$D$33,MATCH($B240,'Intervals'!$A$4:$A$33,0)))&gt;0),EDATE($D240,N(INDEX('Intervals'!$D$4:$D$33,MATCH($B240,'Intervals'!$A$4:$A$33,0)))),""),""))</f>
        <v/>
      </c>
      <c r="H240" s="19">
        <f>IF($A240="","",IFERROR(IF(N(INDEX('Cars'!$H$4:$H$103,MATCH($A240,'Cars'!$A$4:$A$103,0)))&gt;0,INDEX('Cars'!$H$4:$H$103,MATCH($A240,'Cars'!$A$4:$A$103,0)),""),""))</f>
        <v/>
      </c>
      <c r="I240" s="19">
        <f>IF(OR($F240="",$H240=""),"",$F240-$H240)</f>
        <v/>
      </c>
      <c r="J240" s="21">
        <f>IF($G240="","",$G240-TODAY())</f>
        <v/>
      </c>
      <c r="K240" s="21">
        <f>IF($I240="","",IFERROR(IF(N(INDEX('Cars'!$J$4:$J$103,MATCH($A240,'Cars'!$A$4:$A$103,0)))&gt;0,ROUND($I240/INDEX('Cars'!$J$4:$J$103,MATCH($A240,'Cars'!$A$4:$A$103,0))*30,0),""),""))</f>
        <v/>
      </c>
      <c r="L240" s="21">
        <f>IF(AND($J240="",$K240=""),"",MIN(IF($J240="",99999,$J240),IF($K240="",99999,$K240)))</f>
        <v/>
      </c>
      <c r="M240" s="16">
        <f>IF(AND($I240="",$J240=""),"",IF(OR(AND($I240&lt;&gt;"",N($I240)&lt;0),AND($J240&lt;&gt;"",N($J240)&lt;0)),"Overdue",IF(OR(AND($I240&lt;&gt;"",N($I240)&lt;=IFERROR(INDEX('Intervals'!$E$4:$E$33,MATCH($B240,'Intervals'!$A$4:$A$33,0)),500)),AND($J240&lt;&gt;"",N($J240)&lt;=IFERROR(INDEX('Intervals'!$F$4:$F$33,MATCH($B240,'Intervals'!$A$4:$A$33,0)),14))),"Due soon","OK")))</f>
        <v/>
      </c>
      <c r="N240" s="15" t="n"/>
      <c r="O240" s="22">
        <f>IF(OR($M240="",$M240="OK"),"",$L240+ROW()/100000)</f>
        <v/>
      </c>
    </row>
    <row r="241">
      <c r="A241" s="15" t="n"/>
      <c r="B241" s="15" t="n"/>
      <c r="C241" s="16">
        <f>IF($B241="","",IFERROR(INDEX('Intervals'!$B$4:$B$33,MATCH($B241,'Intervals'!$A$4:$A$33,0)),""))</f>
        <v/>
      </c>
      <c r="D241" s="17" t="n"/>
      <c r="E241" s="18" t="n"/>
      <c r="F241" s="19">
        <f>IF(OR($B241="",$E241=""),"",IFERROR(IF(AND(INDEX('Intervals'!$G$4:$G$33,MATCH($B241,'Intervals'!$A$4:$A$33,0))&lt;&gt;"No",N(INDEX('Intervals'!$C$4:$C$33,MATCH($B241,'Intervals'!$A$4:$A$33,0)))&gt;0),$E241+N(INDEX('Intervals'!$C$4:$C$33,MATCH($B241,'Intervals'!$A$4:$A$33,0))),""),""))</f>
        <v/>
      </c>
      <c r="G241" s="20">
        <f>IF(OR($B241="",$D241=""),"",IFERROR(IF(AND(INDEX('Intervals'!$G$4:$G$33,MATCH($B241,'Intervals'!$A$4:$A$33,0))&lt;&gt;"No",N(INDEX('Intervals'!$D$4:$D$33,MATCH($B241,'Intervals'!$A$4:$A$33,0)))&gt;0),EDATE($D241,N(INDEX('Intervals'!$D$4:$D$33,MATCH($B241,'Intervals'!$A$4:$A$33,0)))),""),""))</f>
        <v/>
      </c>
      <c r="H241" s="19">
        <f>IF($A241="","",IFERROR(IF(N(INDEX('Cars'!$H$4:$H$103,MATCH($A241,'Cars'!$A$4:$A$103,0)))&gt;0,INDEX('Cars'!$H$4:$H$103,MATCH($A241,'Cars'!$A$4:$A$103,0)),""),""))</f>
        <v/>
      </c>
      <c r="I241" s="19">
        <f>IF(OR($F241="",$H241=""),"",$F241-$H241)</f>
        <v/>
      </c>
      <c r="J241" s="21">
        <f>IF($G241="","",$G241-TODAY())</f>
        <v/>
      </c>
      <c r="K241" s="21">
        <f>IF($I241="","",IFERROR(IF(N(INDEX('Cars'!$J$4:$J$103,MATCH($A241,'Cars'!$A$4:$A$103,0)))&gt;0,ROUND($I241/INDEX('Cars'!$J$4:$J$103,MATCH($A241,'Cars'!$A$4:$A$103,0))*30,0),""),""))</f>
        <v/>
      </c>
      <c r="L241" s="21">
        <f>IF(AND($J241="",$K241=""),"",MIN(IF($J241="",99999,$J241),IF($K241="",99999,$K241)))</f>
        <v/>
      </c>
      <c r="M241" s="16">
        <f>IF(AND($I241="",$J241=""),"",IF(OR(AND($I241&lt;&gt;"",N($I241)&lt;0),AND($J241&lt;&gt;"",N($J241)&lt;0)),"Overdue",IF(OR(AND($I241&lt;&gt;"",N($I241)&lt;=IFERROR(INDEX('Intervals'!$E$4:$E$33,MATCH($B241,'Intervals'!$A$4:$A$33,0)),500)),AND($J241&lt;&gt;"",N($J241)&lt;=IFERROR(INDEX('Intervals'!$F$4:$F$33,MATCH($B241,'Intervals'!$A$4:$A$33,0)),14))),"Due soon","OK")))</f>
        <v/>
      </c>
      <c r="N241" s="15" t="n"/>
      <c r="O241" s="22">
        <f>IF(OR($M241="",$M241="OK"),"",$L241+ROW()/100000)</f>
        <v/>
      </c>
    </row>
    <row r="242">
      <c r="A242" s="15" t="n"/>
      <c r="B242" s="15" t="n"/>
      <c r="C242" s="16">
        <f>IF($B242="","",IFERROR(INDEX('Intervals'!$B$4:$B$33,MATCH($B242,'Intervals'!$A$4:$A$33,0)),""))</f>
        <v/>
      </c>
      <c r="D242" s="17" t="n"/>
      <c r="E242" s="18" t="n"/>
      <c r="F242" s="19">
        <f>IF(OR($B242="",$E242=""),"",IFERROR(IF(AND(INDEX('Intervals'!$G$4:$G$33,MATCH($B242,'Intervals'!$A$4:$A$33,0))&lt;&gt;"No",N(INDEX('Intervals'!$C$4:$C$33,MATCH($B242,'Intervals'!$A$4:$A$33,0)))&gt;0),$E242+N(INDEX('Intervals'!$C$4:$C$33,MATCH($B242,'Intervals'!$A$4:$A$33,0))),""),""))</f>
        <v/>
      </c>
      <c r="G242" s="20">
        <f>IF(OR($B242="",$D242=""),"",IFERROR(IF(AND(INDEX('Intervals'!$G$4:$G$33,MATCH($B242,'Intervals'!$A$4:$A$33,0))&lt;&gt;"No",N(INDEX('Intervals'!$D$4:$D$33,MATCH($B242,'Intervals'!$A$4:$A$33,0)))&gt;0),EDATE($D242,N(INDEX('Intervals'!$D$4:$D$33,MATCH($B242,'Intervals'!$A$4:$A$33,0)))),""),""))</f>
        <v/>
      </c>
      <c r="H242" s="19">
        <f>IF($A242="","",IFERROR(IF(N(INDEX('Cars'!$H$4:$H$103,MATCH($A242,'Cars'!$A$4:$A$103,0)))&gt;0,INDEX('Cars'!$H$4:$H$103,MATCH($A242,'Cars'!$A$4:$A$103,0)),""),""))</f>
        <v/>
      </c>
      <c r="I242" s="19">
        <f>IF(OR($F242="",$H242=""),"",$F242-$H242)</f>
        <v/>
      </c>
      <c r="J242" s="21">
        <f>IF($G242="","",$G242-TODAY())</f>
        <v/>
      </c>
      <c r="K242" s="21">
        <f>IF($I242="","",IFERROR(IF(N(INDEX('Cars'!$J$4:$J$103,MATCH($A242,'Cars'!$A$4:$A$103,0)))&gt;0,ROUND($I242/INDEX('Cars'!$J$4:$J$103,MATCH($A242,'Cars'!$A$4:$A$103,0))*30,0),""),""))</f>
        <v/>
      </c>
      <c r="L242" s="21">
        <f>IF(AND($J242="",$K242=""),"",MIN(IF($J242="",99999,$J242),IF($K242="",99999,$K242)))</f>
        <v/>
      </c>
      <c r="M242" s="16">
        <f>IF(AND($I242="",$J242=""),"",IF(OR(AND($I242&lt;&gt;"",N($I242)&lt;0),AND($J242&lt;&gt;"",N($J242)&lt;0)),"Overdue",IF(OR(AND($I242&lt;&gt;"",N($I242)&lt;=IFERROR(INDEX('Intervals'!$E$4:$E$33,MATCH($B242,'Intervals'!$A$4:$A$33,0)),500)),AND($J242&lt;&gt;"",N($J242)&lt;=IFERROR(INDEX('Intervals'!$F$4:$F$33,MATCH($B242,'Intervals'!$A$4:$A$33,0)),14))),"Due soon","OK")))</f>
        <v/>
      </c>
      <c r="N242" s="15" t="n"/>
      <c r="O242" s="22">
        <f>IF(OR($M242="",$M242="OK"),"",$L242+ROW()/100000)</f>
        <v/>
      </c>
    </row>
    <row r="243">
      <c r="A243" s="15" t="n"/>
      <c r="B243" s="15" t="n"/>
      <c r="C243" s="16">
        <f>IF($B243="","",IFERROR(INDEX('Intervals'!$B$4:$B$33,MATCH($B243,'Intervals'!$A$4:$A$33,0)),""))</f>
        <v/>
      </c>
      <c r="D243" s="17" t="n"/>
      <c r="E243" s="18" t="n"/>
      <c r="F243" s="19">
        <f>IF(OR($B243="",$E243=""),"",IFERROR(IF(AND(INDEX('Intervals'!$G$4:$G$33,MATCH($B243,'Intervals'!$A$4:$A$33,0))&lt;&gt;"No",N(INDEX('Intervals'!$C$4:$C$33,MATCH($B243,'Intervals'!$A$4:$A$33,0)))&gt;0),$E243+N(INDEX('Intervals'!$C$4:$C$33,MATCH($B243,'Intervals'!$A$4:$A$33,0))),""),""))</f>
        <v/>
      </c>
      <c r="G243" s="20">
        <f>IF(OR($B243="",$D243=""),"",IFERROR(IF(AND(INDEX('Intervals'!$G$4:$G$33,MATCH($B243,'Intervals'!$A$4:$A$33,0))&lt;&gt;"No",N(INDEX('Intervals'!$D$4:$D$33,MATCH($B243,'Intervals'!$A$4:$A$33,0)))&gt;0),EDATE($D243,N(INDEX('Intervals'!$D$4:$D$33,MATCH($B243,'Intervals'!$A$4:$A$33,0)))),""),""))</f>
        <v/>
      </c>
      <c r="H243" s="19">
        <f>IF($A243="","",IFERROR(IF(N(INDEX('Cars'!$H$4:$H$103,MATCH($A243,'Cars'!$A$4:$A$103,0)))&gt;0,INDEX('Cars'!$H$4:$H$103,MATCH($A243,'Cars'!$A$4:$A$103,0)),""),""))</f>
        <v/>
      </c>
      <c r="I243" s="19">
        <f>IF(OR($F243="",$H243=""),"",$F243-$H243)</f>
        <v/>
      </c>
      <c r="J243" s="21">
        <f>IF($G243="","",$G243-TODAY())</f>
        <v/>
      </c>
      <c r="K243" s="21">
        <f>IF($I243="","",IFERROR(IF(N(INDEX('Cars'!$J$4:$J$103,MATCH($A243,'Cars'!$A$4:$A$103,0)))&gt;0,ROUND($I243/INDEX('Cars'!$J$4:$J$103,MATCH($A243,'Cars'!$A$4:$A$103,0))*30,0),""),""))</f>
        <v/>
      </c>
      <c r="L243" s="21">
        <f>IF(AND($J243="",$K243=""),"",MIN(IF($J243="",99999,$J243),IF($K243="",99999,$K243)))</f>
        <v/>
      </c>
      <c r="M243" s="16">
        <f>IF(AND($I243="",$J243=""),"",IF(OR(AND($I243&lt;&gt;"",N($I243)&lt;0),AND($J243&lt;&gt;"",N($J243)&lt;0)),"Overdue",IF(OR(AND($I243&lt;&gt;"",N($I243)&lt;=IFERROR(INDEX('Intervals'!$E$4:$E$33,MATCH($B243,'Intervals'!$A$4:$A$33,0)),500)),AND($J243&lt;&gt;"",N($J243)&lt;=IFERROR(INDEX('Intervals'!$F$4:$F$33,MATCH($B243,'Intervals'!$A$4:$A$33,0)),14))),"Due soon","OK")))</f>
        <v/>
      </c>
      <c r="N243" s="15" t="n"/>
      <c r="O243" s="22">
        <f>IF(OR($M243="",$M243="OK"),"",$L243+ROW()/100000)</f>
        <v/>
      </c>
    </row>
    <row r="244">
      <c r="A244" s="15" t="n"/>
      <c r="B244" s="15" t="n"/>
      <c r="C244" s="16">
        <f>IF($B244="","",IFERROR(INDEX('Intervals'!$B$4:$B$33,MATCH($B244,'Intervals'!$A$4:$A$33,0)),""))</f>
        <v/>
      </c>
      <c r="D244" s="17" t="n"/>
      <c r="E244" s="18" t="n"/>
      <c r="F244" s="19">
        <f>IF(OR($B244="",$E244=""),"",IFERROR(IF(AND(INDEX('Intervals'!$G$4:$G$33,MATCH($B244,'Intervals'!$A$4:$A$33,0))&lt;&gt;"No",N(INDEX('Intervals'!$C$4:$C$33,MATCH($B244,'Intervals'!$A$4:$A$33,0)))&gt;0),$E244+N(INDEX('Intervals'!$C$4:$C$33,MATCH($B244,'Intervals'!$A$4:$A$33,0))),""),""))</f>
        <v/>
      </c>
      <c r="G244" s="20">
        <f>IF(OR($B244="",$D244=""),"",IFERROR(IF(AND(INDEX('Intervals'!$G$4:$G$33,MATCH($B244,'Intervals'!$A$4:$A$33,0))&lt;&gt;"No",N(INDEX('Intervals'!$D$4:$D$33,MATCH($B244,'Intervals'!$A$4:$A$33,0)))&gt;0),EDATE($D244,N(INDEX('Intervals'!$D$4:$D$33,MATCH($B244,'Intervals'!$A$4:$A$33,0)))),""),""))</f>
        <v/>
      </c>
      <c r="H244" s="19">
        <f>IF($A244="","",IFERROR(IF(N(INDEX('Cars'!$H$4:$H$103,MATCH($A244,'Cars'!$A$4:$A$103,0)))&gt;0,INDEX('Cars'!$H$4:$H$103,MATCH($A244,'Cars'!$A$4:$A$103,0)),""),""))</f>
        <v/>
      </c>
      <c r="I244" s="19">
        <f>IF(OR($F244="",$H244=""),"",$F244-$H244)</f>
        <v/>
      </c>
      <c r="J244" s="21">
        <f>IF($G244="","",$G244-TODAY())</f>
        <v/>
      </c>
      <c r="K244" s="21">
        <f>IF($I244="","",IFERROR(IF(N(INDEX('Cars'!$J$4:$J$103,MATCH($A244,'Cars'!$A$4:$A$103,0)))&gt;0,ROUND($I244/INDEX('Cars'!$J$4:$J$103,MATCH($A244,'Cars'!$A$4:$A$103,0))*30,0),""),""))</f>
        <v/>
      </c>
      <c r="L244" s="21">
        <f>IF(AND($J244="",$K244=""),"",MIN(IF($J244="",99999,$J244),IF($K244="",99999,$K244)))</f>
        <v/>
      </c>
      <c r="M244" s="16">
        <f>IF(AND($I244="",$J244=""),"",IF(OR(AND($I244&lt;&gt;"",N($I244)&lt;0),AND($J244&lt;&gt;"",N($J244)&lt;0)),"Overdue",IF(OR(AND($I244&lt;&gt;"",N($I244)&lt;=IFERROR(INDEX('Intervals'!$E$4:$E$33,MATCH($B244,'Intervals'!$A$4:$A$33,0)),500)),AND($J244&lt;&gt;"",N($J244)&lt;=IFERROR(INDEX('Intervals'!$F$4:$F$33,MATCH($B244,'Intervals'!$A$4:$A$33,0)),14))),"Due soon","OK")))</f>
        <v/>
      </c>
      <c r="N244" s="15" t="n"/>
      <c r="O244" s="22">
        <f>IF(OR($M244="",$M244="OK"),"",$L244+ROW()/100000)</f>
        <v/>
      </c>
    </row>
    <row r="245">
      <c r="A245" s="15" t="n"/>
      <c r="B245" s="15" t="n"/>
      <c r="C245" s="16">
        <f>IF($B245="","",IFERROR(INDEX('Intervals'!$B$4:$B$33,MATCH($B245,'Intervals'!$A$4:$A$33,0)),""))</f>
        <v/>
      </c>
      <c r="D245" s="17" t="n"/>
      <c r="E245" s="18" t="n"/>
      <c r="F245" s="19">
        <f>IF(OR($B245="",$E245=""),"",IFERROR(IF(AND(INDEX('Intervals'!$G$4:$G$33,MATCH($B245,'Intervals'!$A$4:$A$33,0))&lt;&gt;"No",N(INDEX('Intervals'!$C$4:$C$33,MATCH($B245,'Intervals'!$A$4:$A$33,0)))&gt;0),$E245+N(INDEX('Intervals'!$C$4:$C$33,MATCH($B245,'Intervals'!$A$4:$A$33,0))),""),""))</f>
        <v/>
      </c>
      <c r="G245" s="20">
        <f>IF(OR($B245="",$D245=""),"",IFERROR(IF(AND(INDEX('Intervals'!$G$4:$G$33,MATCH($B245,'Intervals'!$A$4:$A$33,0))&lt;&gt;"No",N(INDEX('Intervals'!$D$4:$D$33,MATCH($B245,'Intervals'!$A$4:$A$33,0)))&gt;0),EDATE($D245,N(INDEX('Intervals'!$D$4:$D$33,MATCH($B245,'Intervals'!$A$4:$A$33,0)))),""),""))</f>
        <v/>
      </c>
      <c r="H245" s="19">
        <f>IF($A245="","",IFERROR(IF(N(INDEX('Cars'!$H$4:$H$103,MATCH($A245,'Cars'!$A$4:$A$103,0)))&gt;0,INDEX('Cars'!$H$4:$H$103,MATCH($A245,'Cars'!$A$4:$A$103,0)),""),""))</f>
        <v/>
      </c>
      <c r="I245" s="19">
        <f>IF(OR($F245="",$H245=""),"",$F245-$H245)</f>
        <v/>
      </c>
      <c r="J245" s="21">
        <f>IF($G245="","",$G245-TODAY())</f>
        <v/>
      </c>
      <c r="K245" s="21">
        <f>IF($I245="","",IFERROR(IF(N(INDEX('Cars'!$J$4:$J$103,MATCH($A245,'Cars'!$A$4:$A$103,0)))&gt;0,ROUND($I245/INDEX('Cars'!$J$4:$J$103,MATCH($A245,'Cars'!$A$4:$A$103,0))*30,0),""),""))</f>
        <v/>
      </c>
      <c r="L245" s="21">
        <f>IF(AND($J245="",$K245=""),"",MIN(IF($J245="",99999,$J245),IF($K245="",99999,$K245)))</f>
        <v/>
      </c>
      <c r="M245" s="16">
        <f>IF(AND($I245="",$J245=""),"",IF(OR(AND($I245&lt;&gt;"",N($I245)&lt;0),AND($J245&lt;&gt;"",N($J245)&lt;0)),"Overdue",IF(OR(AND($I245&lt;&gt;"",N($I245)&lt;=IFERROR(INDEX('Intervals'!$E$4:$E$33,MATCH($B245,'Intervals'!$A$4:$A$33,0)),500)),AND($J245&lt;&gt;"",N($J245)&lt;=IFERROR(INDEX('Intervals'!$F$4:$F$33,MATCH($B245,'Intervals'!$A$4:$A$33,0)),14))),"Due soon","OK")))</f>
        <v/>
      </c>
      <c r="N245" s="15" t="n"/>
      <c r="O245" s="22">
        <f>IF(OR($M245="",$M245="OK"),"",$L245+ROW()/100000)</f>
        <v/>
      </c>
    </row>
    <row r="246">
      <c r="A246" s="15" t="n"/>
      <c r="B246" s="15" t="n"/>
      <c r="C246" s="16">
        <f>IF($B246="","",IFERROR(INDEX('Intervals'!$B$4:$B$33,MATCH($B246,'Intervals'!$A$4:$A$33,0)),""))</f>
        <v/>
      </c>
      <c r="D246" s="17" t="n"/>
      <c r="E246" s="18" t="n"/>
      <c r="F246" s="19">
        <f>IF(OR($B246="",$E246=""),"",IFERROR(IF(AND(INDEX('Intervals'!$G$4:$G$33,MATCH($B246,'Intervals'!$A$4:$A$33,0))&lt;&gt;"No",N(INDEX('Intervals'!$C$4:$C$33,MATCH($B246,'Intervals'!$A$4:$A$33,0)))&gt;0),$E246+N(INDEX('Intervals'!$C$4:$C$33,MATCH($B246,'Intervals'!$A$4:$A$33,0))),""),""))</f>
        <v/>
      </c>
      <c r="G246" s="20">
        <f>IF(OR($B246="",$D246=""),"",IFERROR(IF(AND(INDEX('Intervals'!$G$4:$G$33,MATCH($B246,'Intervals'!$A$4:$A$33,0))&lt;&gt;"No",N(INDEX('Intervals'!$D$4:$D$33,MATCH($B246,'Intervals'!$A$4:$A$33,0)))&gt;0),EDATE($D246,N(INDEX('Intervals'!$D$4:$D$33,MATCH($B246,'Intervals'!$A$4:$A$33,0)))),""),""))</f>
        <v/>
      </c>
      <c r="H246" s="19">
        <f>IF($A246="","",IFERROR(IF(N(INDEX('Cars'!$H$4:$H$103,MATCH($A246,'Cars'!$A$4:$A$103,0)))&gt;0,INDEX('Cars'!$H$4:$H$103,MATCH($A246,'Cars'!$A$4:$A$103,0)),""),""))</f>
        <v/>
      </c>
      <c r="I246" s="19">
        <f>IF(OR($F246="",$H246=""),"",$F246-$H246)</f>
        <v/>
      </c>
      <c r="J246" s="21">
        <f>IF($G246="","",$G246-TODAY())</f>
        <v/>
      </c>
      <c r="K246" s="21">
        <f>IF($I246="","",IFERROR(IF(N(INDEX('Cars'!$J$4:$J$103,MATCH($A246,'Cars'!$A$4:$A$103,0)))&gt;0,ROUND($I246/INDEX('Cars'!$J$4:$J$103,MATCH($A246,'Cars'!$A$4:$A$103,0))*30,0),""),""))</f>
        <v/>
      </c>
      <c r="L246" s="21">
        <f>IF(AND($J246="",$K246=""),"",MIN(IF($J246="",99999,$J246),IF($K246="",99999,$K246)))</f>
        <v/>
      </c>
      <c r="M246" s="16">
        <f>IF(AND($I246="",$J246=""),"",IF(OR(AND($I246&lt;&gt;"",N($I246)&lt;0),AND($J246&lt;&gt;"",N($J246)&lt;0)),"Overdue",IF(OR(AND($I246&lt;&gt;"",N($I246)&lt;=IFERROR(INDEX('Intervals'!$E$4:$E$33,MATCH($B246,'Intervals'!$A$4:$A$33,0)),500)),AND($J246&lt;&gt;"",N($J246)&lt;=IFERROR(INDEX('Intervals'!$F$4:$F$33,MATCH($B246,'Intervals'!$A$4:$A$33,0)),14))),"Due soon","OK")))</f>
        <v/>
      </c>
      <c r="N246" s="15" t="n"/>
      <c r="O246" s="22">
        <f>IF(OR($M246="",$M246="OK"),"",$L246+ROW()/100000)</f>
        <v/>
      </c>
    </row>
    <row r="247">
      <c r="A247" s="15" t="n"/>
      <c r="B247" s="15" t="n"/>
      <c r="C247" s="16">
        <f>IF($B247="","",IFERROR(INDEX('Intervals'!$B$4:$B$33,MATCH($B247,'Intervals'!$A$4:$A$33,0)),""))</f>
        <v/>
      </c>
      <c r="D247" s="17" t="n"/>
      <c r="E247" s="18" t="n"/>
      <c r="F247" s="19">
        <f>IF(OR($B247="",$E247=""),"",IFERROR(IF(AND(INDEX('Intervals'!$G$4:$G$33,MATCH($B247,'Intervals'!$A$4:$A$33,0))&lt;&gt;"No",N(INDEX('Intervals'!$C$4:$C$33,MATCH($B247,'Intervals'!$A$4:$A$33,0)))&gt;0),$E247+N(INDEX('Intervals'!$C$4:$C$33,MATCH($B247,'Intervals'!$A$4:$A$33,0))),""),""))</f>
        <v/>
      </c>
      <c r="G247" s="20">
        <f>IF(OR($B247="",$D247=""),"",IFERROR(IF(AND(INDEX('Intervals'!$G$4:$G$33,MATCH($B247,'Intervals'!$A$4:$A$33,0))&lt;&gt;"No",N(INDEX('Intervals'!$D$4:$D$33,MATCH($B247,'Intervals'!$A$4:$A$33,0)))&gt;0),EDATE($D247,N(INDEX('Intervals'!$D$4:$D$33,MATCH($B247,'Intervals'!$A$4:$A$33,0)))),""),""))</f>
        <v/>
      </c>
      <c r="H247" s="19">
        <f>IF($A247="","",IFERROR(IF(N(INDEX('Cars'!$H$4:$H$103,MATCH($A247,'Cars'!$A$4:$A$103,0)))&gt;0,INDEX('Cars'!$H$4:$H$103,MATCH($A247,'Cars'!$A$4:$A$103,0)),""),""))</f>
        <v/>
      </c>
      <c r="I247" s="19">
        <f>IF(OR($F247="",$H247=""),"",$F247-$H247)</f>
        <v/>
      </c>
      <c r="J247" s="21">
        <f>IF($G247="","",$G247-TODAY())</f>
        <v/>
      </c>
      <c r="K247" s="21">
        <f>IF($I247="","",IFERROR(IF(N(INDEX('Cars'!$J$4:$J$103,MATCH($A247,'Cars'!$A$4:$A$103,0)))&gt;0,ROUND($I247/INDEX('Cars'!$J$4:$J$103,MATCH($A247,'Cars'!$A$4:$A$103,0))*30,0),""),""))</f>
        <v/>
      </c>
      <c r="L247" s="21">
        <f>IF(AND($J247="",$K247=""),"",MIN(IF($J247="",99999,$J247),IF($K247="",99999,$K247)))</f>
        <v/>
      </c>
      <c r="M247" s="16">
        <f>IF(AND($I247="",$J247=""),"",IF(OR(AND($I247&lt;&gt;"",N($I247)&lt;0),AND($J247&lt;&gt;"",N($J247)&lt;0)),"Overdue",IF(OR(AND($I247&lt;&gt;"",N($I247)&lt;=IFERROR(INDEX('Intervals'!$E$4:$E$33,MATCH($B247,'Intervals'!$A$4:$A$33,0)),500)),AND($J247&lt;&gt;"",N($J247)&lt;=IFERROR(INDEX('Intervals'!$F$4:$F$33,MATCH($B247,'Intervals'!$A$4:$A$33,0)),14))),"Due soon","OK")))</f>
        <v/>
      </c>
      <c r="N247" s="15" t="n"/>
      <c r="O247" s="22">
        <f>IF(OR($M247="",$M247="OK"),"",$L247+ROW()/100000)</f>
        <v/>
      </c>
    </row>
    <row r="248">
      <c r="A248" s="15" t="n"/>
      <c r="B248" s="15" t="n"/>
      <c r="C248" s="16">
        <f>IF($B248="","",IFERROR(INDEX('Intervals'!$B$4:$B$33,MATCH($B248,'Intervals'!$A$4:$A$33,0)),""))</f>
        <v/>
      </c>
      <c r="D248" s="17" t="n"/>
      <c r="E248" s="18" t="n"/>
      <c r="F248" s="19">
        <f>IF(OR($B248="",$E248=""),"",IFERROR(IF(AND(INDEX('Intervals'!$G$4:$G$33,MATCH($B248,'Intervals'!$A$4:$A$33,0))&lt;&gt;"No",N(INDEX('Intervals'!$C$4:$C$33,MATCH($B248,'Intervals'!$A$4:$A$33,0)))&gt;0),$E248+N(INDEX('Intervals'!$C$4:$C$33,MATCH($B248,'Intervals'!$A$4:$A$33,0))),""),""))</f>
        <v/>
      </c>
      <c r="G248" s="20">
        <f>IF(OR($B248="",$D248=""),"",IFERROR(IF(AND(INDEX('Intervals'!$G$4:$G$33,MATCH($B248,'Intervals'!$A$4:$A$33,0))&lt;&gt;"No",N(INDEX('Intervals'!$D$4:$D$33,MATCH($B248,'Intervals'!$A$4:$A$33,0)))&gt;0),EDATE($D248,N(INDEX('Intervals'!$D$4:$D$33,MATCH($B248,'Intervals'!$A$4:$A$33,0)))),""),""))</f>
        <v/>
      </c>
      <c r="H248" s="19">
        <f>IF($A248="","",IFERROR(IF(N(INDEX('Cars'!$H$4:$H$103,MATCH($A248,'Cars'!$A$4:$A$103,0)))&gt;0,INDEX('Cars'!$H$4:$H$103,MATCH($A248,'Cars'!$A$4:$A$103,0)),""),""))</f>
        <v/>
      </c>
      <c r="I248" s="19">
        <f>IF(OR($F248="",$H248=""),"",$F248-$H248)</f>
        <v/>
      </c>
      <c r="J248" s="21">
        <f>IF($G248="","",$G248-TODAY())</f>
        <v/>
      </c>
      <c r="K248" s="21">
        <f>IF($I248="","",IFERROR(IF(N(INDEX('Cars'!$J$4:$J$103,MATCH($A248,'Cars'!$A$4:$A$103,0)))&gt;0,ROUND($I248/INDEX('Cars'!$J$4:$J$103,MATCH($A248,'Cars'!$A$4:$A$103,0))*30,0),""),""))</f>
        <v/>
      </c>
      <c r="L248" s="21">
        <f>IF(AND($J248="",$K248=""),"",MIN(IF($J248="",99999,$J248),IF($K248="",99999,$K248)))</f>
        <v/>
      </c>
      <c r="M248" s="16">
        <f>IF(AND($I248="",$J248=""),"",IF(OR(AND($I248&lt;&gt;"",N($I248)&lt;0),AND($J248&lt;&gt;"",N($J248)&lt;0)),"Overdue",IF(OR(AND($I248&lt;&gt;"",N($I248)&lt;=IFERROR(INDEX('Intervals'!$E$4:$E$33,MATCH($B248,'Intervals'!$A$4:$A$33,0)),500)),AND($J248&lt;&gt;"",N($J248)&lt;=IFERROR(INDEX('Intervals'!$F$4:$F$33,MATCH($B248,'Intervals'!$A$4:$A$33,0)),14))),"Due soon","OK")))</f>
        <v/>
      </c>
      <c r="N248" s="15" t="n"/>
      <c r="O248" s="22">
        <f>IF(OR($M248="",$M248="OK"),"",$L248+ROW()/100000)</f>
        <v/>
      </c>
    </row>
    <row r="249">
      <c r="A249" s="15" t="n"/>
      <c r="B249" s="15" t="n"/>
      <c r="C249" s="16">
        <f>IF($B249="","",IFERROR(INDEX('Intervals'!$B$4:$B$33,MATCH($B249,'Intervals'!$A$4:$A$33,0)),""))</f>
        <v/>
      </c>
      <c r="D249" s="17" t="n"/>
      <c r="E249" s="18" t="n"/>
      <c r="F249" s="19">
        <f>IF(OR($B249="",$E249=""),"",IFERROR(IF(AND(INDEX('Intervals'!$G$4:$G$33,MATCH($B249,'Intervals'!$A$4:$A$33,0))&lt;&gt;"No",N(INDEX('Intervals'!$C$4:$C$33,MATCH($B249,'Intervals'!$A$4:$A$33,0)))&gt;0),$E249+N(INDEX('Intervals'!$C$4:$C$33,MATCH($B249,'Intervals'!$A$4:$A$33,0))),""),""))</f>
        <v/>
      </c>
      <c r="G249" s="20">
        <f>IF(OR($B249="",$D249=""),"",IFERROR(IF(AND(INDEX('Intervals'!$G$4:$G$33,MATCH($B249,'Intervals'!$A$4:$A$33,0))&lt;&gt;"No",N(INDEX('Intervals'!$D$4:$D$33,MATCH($B249,'Intervals'!$A$4:$A$33,0)))&gt;0),EDATE($D249,N(INDEX('Intervals'!$D$4:$D$33,MATCH($B249,'Intervals'!$A$4:$A$33,0)))),""),""))</f>
        <v/>
      </c>
      <c r="H249" s="19">
        <f>IF($A249="","",IFERROR(IF(N(INDEX('Cars'!$H$4:$H$103,MATCH($A249,'Cars'!$A$4:$A$103,0)))&gt;0,INDEX('Cars'!$H$4:$H$103,MATCH($A249,'Cars'!$A$4:$A$103,0)),""),""))</f>
        <v/>
      </c>
      <c r="I249" s="19">
        <f>IF(OR($F249="",$H249=""),"",$F249-$H249)</f>
        <v/>
      </c>
      <c r="J249" s="21">
        <f>IF($G249="","",$G249-TODAY())</f>
        <v/>
      </c>
      <c r="K249" s="21">
        <f>IF($I249="","",IFERROR(IF(N(INDEX('Cars'!$J$4:$J$103,MATCH($A249,'Cars'!$A$4:$A$103,0)))&gt;0,ROUND($I249/INDEX('Cars'!$J$4:$J$103,MATCH($A249,'Cars'!$A$4:$A$103,0))*30,0),""),""))</f>
        <v/>
      </c>
      <c r="L249" s="21">
        <f>IF(AND($J249="",$K249=""),"",MIN(IF($J249="",99999,$J249),IF($K249="",99999,$K249)))</f>
        <v/>
      </c>
      <c r="M249" s="16">
        <f>IF(AND($I249="",$J249=""),"",IF(OR(AND($I249&lt;&gt;"",N($I249)&lt;0),AND($J249&lt;&gt;"",N($J249)&lt;0)),"Overdue",IF(OR(AND($I249&lt;&gt;"",N($I249)&lt;=IFERROR(INDEX('Intervals'!$E$4:$E$33,MATCH($B249,'Intervals'!$A$4:$A$33,0)),500)),AND($J249&lt;&gt;"",N($J249)&lt;=IFERROR(INDEX('Intervals'!$F$4:$F$33,MATCH($B249,'Intervals'!$A$4:$A$33,0)),14))),"Due soon","OK")))</f>
        <v/>
      </c>
      <c r="N249" s="15" t="n"/>
      <c r="O249" s="22">
        <f>IF(OR($M249="",$M249="OK"),"",$L249+ROW()/100000)</f>
        <v/>
      </c>
    </row>
    <row r="250">
      <c r="A250" s="15" t="n"/>
      <c r="B250" s="15" t="n"/>
      <c r="C250" s="16">
        <f>IF($B250="","",IFERROR(INDEX('Intervals'!$B$4:$B$33,MATCH($B250,'Intervals'!$A$4:$A$33,0)),""))</f>
        <v/>
      </c>
      <c r="D250" s="17" t="n"/>
      <c r="E250" s="18" t="n"/>
      <c r="F250" s="19">
        <f>IF(OR($B250="",$E250=""),"",IFERROR(IF(AND(INDEX('Intervals'!$G$4:$G$33,MATCH($B250,'Intervals'!$A$4:$A$33,0))&lt;&gt;"No",N(INDEX('Intervals'!$C$4:$C$33,MATCH($B250,'Intervals'!$A$4:$A$33,0)))&gt;0),$E250+N(INDEX('Intervals'!$C$4:$C$33,MATCH($B250,'Intervals'!$A$4:$A$33,0))),""),""))</f>
        <v/>
      </c>
      <c r="G250" s="20">
        <f>IF(OR($B250="",$D250=""),"",IFERROR(IF(AND(INDEX('Intervals'!$G$4:$G$33,MATCH($B250,'Intervals'!$A$4:$A$33,0))&lt;&gt;"No",N(INDEX('Intervals'!$D$4:$D$33,MATCH($B250,'Intervals'!$A$4:$A$33,0)))&gt;0),EDATE($D250,N(INDEX('Intervals'!$D$4:$D$33,MATCH($B250,'Intervals'!$A$4:$A$33,0)))),""),""))</f>
        <v/>
      </c>
      <c r="H250" s="19">
        <f>IF($A250="","",IFERROR(IF(N(INDEX('Cars'!$H$4:$H$103,MATCH($A250,'Cars'!$A$4:$A$103,0)))&gt;0,INDEX('Cars'!$H$4:$H$103,MATCH($A250,'Cars'!$A$4:$A$103,0)),""),""))</f>
        <v/>
      </c>
      <c r="I250" s="19">
        <f>IF(OR($F250="",$H250=""),"",$F250-$H250)</f>
        <v/>
      </c>
      <c r="J250" s="21">
        <f>IF($G250="","",$G250-TODAY())</f>
        <v/>
      </c>
      <c r="K250" s="21">
        <f>IF($I250="","",IFERROR(IF(N(INDEX('Cars'!$J$4:$J$103,MATCH($A250,'Cars'!$A$4:$A$103,0)))&gt;0,ROUND($I250/INDEX('Cars'!$J$4:$J$103,MATCH($A250,'Cars'!$A$4:$A$103,0))*30,0),""),""))</f>
        <v/>
      </c>
      <c r="L250" s="21">
        <f>IF(AND($J250="",$K250=""),"",MIN(IF($J250="",99999,$J250),IF($K250="",99999,$K250)))</f>
        <v/>
      </c>
      <c r="M250" s="16">
        <f>IF(AND($I250="",$J250=""),"",IF(OR(AND($I250&lt;&gt;"",N($I250)&lt;0),AND($J250&lt;&gt;"",N($J250)&lt;0)),"Overdue",IF(OR(AND($I250&lt;&gt;"",N($I250)&lt;=IFERROR(INDEX('Intervals'!$E$4:$E$33,MATCH($B250,'Intervals'!$A$4:$A$33,0)),500)),AND($J250&lt;&gt;"",N($J250)&lt;=IFERROR(INDEX('Intervals'!$F$4:$F$33,MATCH($B250,'Intervals'!$A$4:$A$33,0)),14))),"Due soon","OK")))</f>
        <v/>
      </c>
      <c r="N250" s="15" t="n"/>
      <c r="O250" s="22">
        <f>IF(OR($M250="",$M250="OK"),"",$L250+ROW()/100000)</f>
        <v/>
      </c>
    </row>
    <row r="251">
      <c r="A251" s="15" t="n"/>
      <c r="B251" s="15" t="n"/>
      <c r="C251" s="16">
        <f>IF($B251="","",IFERROR(INDEX('Intervals'!$B$4:$B$33,MATCH($B251,'Intervals'!$A$4:$A$33,0)),""))</f>
        <v/>
      </c>
      <c r="D251" s="17" t="n"/>
      <c r="E251" s="18" t="n"/>
      <c r="F251" s="19">
        <f>IF(OR($B251="",$E251=""),"",IFERROR(IF(AND(INDEX('Intervals'!$G$4:$G$33,MATCH($B251,'Intervals'!$A$4:$A$33,0))&lt;&gt;"No",N(INDEX('Intervals'!$C$4:$C$33,MATCH($B251,'Intervals'!$A$4:$A$33,0)))&gt;0),$E251+N(INDEX('Intervals'!$C$4:$C$33,MATCH($B251,'Intervals'!$A$4:$A$33,0))),""),""))</f>
        <v/>
      </c>
      <c r="G251" s="20">
        <f>IF(OR($B251="",$D251=""),"",IFERROR(IF(AND(INDEX('Intervals'!$G$4:$G$33,MATCH($B251,'Intervals'!$A$4:$A$33,0))&lt;&gt;"No",N(INDEX('Intervals'!$D$4:$D$33,MATCH($B251,'Intervals'!$A$4:$A$33,0)))&gt;0),EDATE($D251,N(INDEX('Intervals'!$D$4:$D$33,MATCH($B251,'Intervals'!$A$4:$A$33,0)))),""),""))</f>
        <v/>
      </c>
      <c r="H251" s="19">
        <f>IF($A251="","",IFERROR(IF(N(INDEX('Cars'!$H$4:$H$103,MATCH($A251,'Cars'!$A$4:$A$103,0)))&gt;0,INDEX('Cars'!$H$4:$H$103,MATCH($A251,'Cars'!$A$4:$A$103,0)),""),""))</f>
        <v/>
      </c>
      <c r="I251" s="19">
        <f>IF(OR($F251="",$H251=""),"",$F251-$H251)</f>
        <v/>
      </c>
      <c r="J251" s="21">
        <f>IF($G251="","",$G251-TODAY())</f>
        <v/>
      </c>
      <c r="K251" s="21">
        <f>IF($I251="","",IFERROR(IF(N(INDEX('Cars'!$J$4:$J$103,MATCH($A251,'Cars'!$A$4:$A$103,0)))&gt;0,ROUND($I251/INDEX('Cars'!$J$4:$J$103,MATCH($A251,'Cars'!$A$4:$A$103,0))*30,0),""),""))</f>
        <v/>
      </c>
      <c r="L251" s="21">
        <f>IF(AND($J251="",$K251=""),"",MIN(IF($J251="",99999,$J251),IF($K251="",99999,$K251)))</f>
        <v/>
      </c>
      <c r="M251" s="16">
        <f>IF(AND($I251="",$J251=""),"",IF(OR(AND($I251&lt;&gt;"",N($I251)&lt;0),AND($J251&lt;&gt;"",N($J251)&lt;0)),"Overdue",IF(OR(AND($I251&lt;&gt;"",N($I251)&lt;=IFERROR(INDEX('Intervals'!$E$4:$E$33,MATCH($B251,'Intervals'!$A$4:$A$33,0)),500)),AND($J251&lt;&gt;"",N($J251)&lt;=IFERROR(INDEX('Intervals'!$F$4:$F$33,MATCH($B251,'Intervals'!$A$4:$A$33,0)),14))),"Due soon","OK")))</f>
        <v/>
      </c>
      <c r="N251" s="15" t="n"/>
      <c r="O251" s="22">
        <f>IF(OR($M251="",$M251="OK"),"",$L251+ROW()/100000)</f>
        <v/>
      </c>
    </row>
    <row r="252">
      <c r="A252" s="15" t="n"/>
      <c r="B252" s="15" t="n"/>
      <c r="C252" s="16">
        <f>IF($B252="","",IFERROR(INDEX('Intervals'!$B$4:$B$33,MATCH($B252,'Intervals'!$A$4:$A$33,0)),""))</f>
        <v/>
      </c>
      <c r="D252" s="17" t="n"/>
      <c r="E252" s="18" t="n"/>
      <c r="F252" s="19">
        <f>IF(OR($B252="",$E252=""),"",IFERROR(IF(AND(INDEX('Intervals'!$G$4:$G$33,MATCH($B252,'Intervals'!$A$4:$A$33,0))&lt;&gt;"No",N(INDEX('Intervals'!$C$4:$C$33,MATCH($B252,'Intervals'!$A$4:$A$33,0)))&gt;0),$E252+N(INDEX('Intervals'!$C$4:$C$33,MATCH($B252,'Intervals'!$A$4:$A$33,0))),""),""))</f>
        <v/>
      </c>
      <c r="G252" s="20">
        <f>IF(OR($B252="",$D252=""),"",IFERROR(IF(AND(INDEX('Intervals'!$G$4:$G$33,MATCH($B252,'Intervals'!$A$4:$A$33,0))&lt;&gt;"No",N(INDEX('Intervals'!$D$4:$D$33,MATCH($B252,'Intervals'!$A$4:$A$33,0)))&gt;0),EDATE($D252,N(INDEX('Intervals'!$D$4:$D$33,MATCH($B252,'Intervals'!$A$4:$A$33,0)))),""),""))</f>
        <v/>
      </c>
      <c r="H252" s="19">
        <f>IF($A252="","",IFERROR(IF(N(INDEX('Cars'!$H$4:$H$103,MATCH($A252,'Cars'!$A$4:$A$103,0)))&gt;0,INDEX('Cars'!$H$4:$H$103,MATCH($A252,'Cars'!$A$4:$A$103,0)),""),""))</f>
        <v/>
      </c>
      <c r="I252" s="19">
        <f>IF(OR($F252="",$H252=""),"",$F252-$H252)</f>
        <v/>
      </c>
      <c r="J252" s="21">
        <f>IF($G252="","",$G252-TODAY())</f>
        <v/>
      </c>
      <c r="K252" s="21">
        <f>IF($I252="","",IFERROR(IF(N(INDEX('Cars'!$J$4:$J$103,MATCH($A252,'Cars'!$A$4:$A$103,0)))&gt;0,ROUND($I252/INDEX('Cars'!$J$4:$J$103,MATCH($A252,'Cars'!$A$4:$A$103,0))*30,0),""),""))</f>
        <v/>
      </c>
      <c r="L252" s="21">
        <f>IF(AND($J252="",$K252=""),"",MIN(IF($J252="",99999,$J252),IF($K252="",99999,$K252)))</f>
        <v/>
      </c>
      <c r="M252" s="16">
        <f>IF(AND($I252="",$J252=""),"",IF(OR(AND($I252&lt;&gt;"",N($I252)&lt;0),AND($J252&lt;&gt;"",N($J252)&lt;0)),"Overdue",IF(OR(AND($I252&lt;&gt;"",N($I252)&lt;=IFERROR(INDEX('Intervals'!$E$4:$E$33,MATCH($B252,'Intervals'!$A$4:$A$33,0)),500)),AND($J252&lt;&gt;"",N($J252)&lt;=IFERROR(INDEX('Intervals'!$F$4:$F$33,MATCH($B252,'Intervals'!$A$4:$A$33,0)),14))),"Due soon","OK")))</f>
        <v/>
      </c>
      <c r="N252" s="15" t="n"/>
      <c r="O252" s="22">
        <f>IF(OR($M252="",$M252="OK"),"",$L252+ROW()/100000)</f>
        <v/>
      </c>
    </row>
    <row r="253">
      <c r="A253" s="15" t="n"/>
      <c r="B253" s="15" t="n"/>
      <c r="C253" s="16">
        <f>IF($B253="","",IFERROR(INDEX('Intervals'!$B$4:$B$33,MATCH($B253,'Intervals'!$A$4:$A$33,0)),""))</f>
        <v/>
      </c>
      <c r="D253" s="17" t="n"/>
      <c r="E253" s="18" t="n"/>
      <c r="F253" s="19">
        <f>IF(OR($B253="",$E253=""),"",IFERROR(IF(AND(INDEX('Intervals'!$G$4:$G$33,MATCH($B253,'Intervals'!$A$4:$A$33,0))&lt;&gt;"No",N(INDEX('Intervals'!$C$4:$C$33,MATCH($B253,'Intervals'!$A$4:$A$33,0)))&gt;0),$E253+N(INDEX('Intervals'!$C$4:$C$33,MATCH($B253,'Intervals'!$A$4:$A$33,0))),""),""))</f>
        <v/>
      </c>
      <c r="G253" s="20">
        <f>IF(OR($B253="",$D253=""),"",IFERROR(IF(AND(INDEX('Intervals'!$G$4:$G$33,MATCH($B253,'Intervals'!$A$4:$A$33,0))&lt;&gt;"No",N(INDEX('Intervals'!$D$4:$D$33,MATCH($B253,'Intervals'!$A$4:$A$33,0)))&gt;0),EDATE($D253,N(INDEX('Intervals'!$D$4:$D$33,MATCH($B253,'Intervals'!$A$4:$A$33,0)))),""),""))</f>
        <v/>
      </c>
      <c r="H253" s="19">
        <f>IF($A253="","",IFERROR(IF(N(INDEX('Cars'!$H$4:$H$103,MATCH($A253,'Cars'!$A$4:$A$103,0)))&gt;0,INDEX('Cars'!$H$4:$H$103,MATCH($A253,'Cars'!$A$4:$A$103,0)),""),""))</f>
        <v/>
      </c>
      <c r="I253" s="19">
        <f>IF(OR($F253="",$H253=""),"",$F253-$H253)</f>
        <v/>
      </c>
      <c r="J253" s="21">
        <f>IF($G253="","",$G253-TODAY())</f>
        <v/>
      </c>
      <c r="K253" s="21">
        <f>IF($I253="","",IFERROR(IF(N(INDEX('Cars'!$J$4:$J$103,MATCH($A253,'Cars'!$A$4:$A$103,0)))&gt;0,ROUND($I253/INDEX('Cars'!$J$4:$J$103,MATCH($A253,'Cars'!$A$4:$A$103,0))*30,0),""),""))</f>
        <v/>
      </c>
      <c r="L253" s="21">
        <f>IF(AND($J253="",$K253=""),"",MIN(IF($J253="",99999,$J253),IF($K253="",99999,$K253)))</f>
        <v/>
      </c>
      <c r="M253" s="16">
        <f>IF(AND($I253="",$J253=""),"",IF(OR(AND($I253&lt;&gt;"",N($I253)&lt;0),AND($J253&lt;&gt;"",N($J253)&lt;0)),"Overdue",IF(OR(AND($I253&lt;&gt;"",N($I253)&lt;=IFERROR(INDEX('Intervals'!$E$4:$E$33,MATCH($B253,'Intervals'!$A$4:$A$33,0)),500)),AND($J253&lt;&gt;"",N($J253)&lt;=IFERROR(INDEX('Intervals'!$F$4:$F$33,MATCH($B253,'Intervals'!$A$4:$A$33,0)),14))),"Due soon","OK")))</f>
        <v/>
      </c>
      <c r="N253" s="15" t="n"/>
      <c r="O253" s="22">
        <f>IF(OR($M253="",$M253="OK"),"",$L253+ROW()/100000)</f>
        <v/>
      </c>
    </row>
    <row r="254">
      <c r="A254" s="15" t="n"/>
      <c r="B254" s="15" t="n"/>
      <c r="C254" s="16">
        <f>IF($B254="","",IFERROR(INDEX('Intervals'!$B$4:$B$33,MATCH($B254,'Intervals'!$A$4:$A$33,0)),""))</f>
        <v/>
      </c>
      <c r="D254" s="17" t="n"/>
      <c r="E254" s="18" t="n"/>
      <c r="F254" s="19">
        <f>IF(OR($B254="",$E254=""),"",IFERROR(IF(AND(INDEX('Intervals'!$G$4:$G$33,MATCH($B254,'Intervals'!$A$4:$A$33,0))&lt;&gt;"No",N(INDEX('Intervals'!$C$4:$C$33,MATCH($B254,'Intervals'!$A$4:$A$33,0)))&gt;0),$E254+N(INDEX('Intervals'!$C$4:$C$33,MATCH($B254,'Intervals'!$A$4:$A$33,0))),""),""))</f>
        <v/>
      </c>
      <c r="G254" s="20">
        <f>IF(OR($B254="",$D254=""),"",IFERROR(IF(AND(INDEX('Intervals'!$G$4:$G$33,MATCH($B254,'Intervals'!$A$4:$A$33,0))&lt;&gt;"No",N(INDEX('Intervals'!$D$4:$D$33,MATCH($B254,'Intervals'!$A$4:$A$33,0)))&gt;0),EDATE($D254,N(INDEX('Intervals'!$D$4:$D$33,MATCH($B254,'Intervals'!$A$4:$A$33,0)))),""),""))</f>
        <v/>
      </c>
      <c r="H254" s="19">
        <f>IF($A254="","",IFERROR(IF(N(INDEX('Cars'!$H$4:$H$103,MATCH($A254,'Cars'!$A$4:$A$103,0)))&gt;0,INDEX('Cars'!$H$4:$H$103,MATCH($A254,'Cars'!$A$4:$A$103,0)),""),""))</f>
        <v/>
      </c>
      <c r="I254" s="19">
        <f>IF(OR($F254="",$H254=""),"",$F254-$H254)</f>
        <v/>
      </c>
      <c r="J254" s="21">
        <f>IF($G254="","",$G254-TODAY())</f>
        <v/>
      </c>
      <c r="K254" s="21">
        <f>IF($I254="","",IFERROR(IF(N(INDEX('Cars'!$J$4:$J$103,MATCH($A254,'Cars'!$A$4:$A$103,0)))&gt;0,ROUND($I254/INDEX('Cars'!$J$4:$J$103,MATCH($A254,'Cars'!$A$4:$A$103,0))*30,0),""),""))</f>
        <v/>
      </c>
      <c r="L254" s="21">
        <f>IF(AND($J254="",$K254=""),"",MIN(IF($J254="",99999,$J254),IF($K254="",99999,$K254)))</f>
        <v/>
      </c>
      <c r="M254" s="16">
        <f>IF(AND($I254="",$J254=""),"",IF(OR(AND($I254&lt;&gt;"",N($I254)&lt;0),AND($J254&lt;&gt;"",N($J254)&lt;0)),"Overdue",IF(OR(AND($I254&lt;&gt;"",N($I254)&lt;=IFERROR(INDEX('Intervals'!$E$4:$E$33,MATCH($B254,'Intervals'!$A$4:$A$33,0)),500)),AND($J254&lt;&gt;"",N($J254)&lt;=IFERROR(INDEX('Intervals'!$F$4:$F$33,MATCH($B254,'Intervals'!$A$4:$A$33,0)),14))),"Due soon","OK")))</f>
        <v/>
      </c>
      <c r="N254" s="15" t="n"/>
      <c r="O254" s="22">
        <f>IF(OR($M254="",$M254="OK"),"",$L254+ROW()/100000)</f>
        <v/>
      </c>
    </row>
    <row r="255">
      <c r="A255" s="15" t="n"/>
      <c r="B255" s="15" t="n"/>
      <c r="C255" s="16">
        <f>IF($B255="","",IFERROR(INDEX('Intervals'!$B$4:$B$33,MATCH($B255,'Intervals'!$A$4:$A$33,0)),""))</f>
        <v/>
      </c>
      <c r="D255" s="17" t="n"/>
      <c r="E255" s="18" t="n"/>
      <c r="F255" s="19">
        <f>IF(OR($B255="",$E255=""),"",IFERROR(IF(AND(INDEX('Intervals'!$G$4:$G$33,MATCH($B255,'Intervals'!$A$4:$A$33,0))&lt;&gt;"No",N(INDEX('Intervals'!$C$4:$C$33,MATCH($B255,'Intervals'!$A$4:$A$33,0)))&gt;0),$E255+N(INDEX('Intervals'!$C$4:$C$33,MATCH($B255,'Intervals'!$A$4:$A$33,0))),""),""))</f>
        <v/>
      </c>
      <c r="G255" s="20">
        <f>IF(OR($B255="",$D255=""),"",IFERROR(IF(AND(INDEX('Intervals'!$G$4:$G$33,MATCH($B255,'Intervals'!$A$4:$A$33,0))&lt;&gt;"No",N(INDEX('Intervals'!$D$4:$D$33,MATCH($B255,'Intervals'!$A$4:$A$33,0)))&gt;0),EDATE($D255,N(INDEX('Intervals'!$D$4:$D$33,MATCH($B255,'Intervals'!$A$4:$A$33,0)))),""),""))</f>
        <v/>
      </c>
      <c r="H255" s="19">
        <f>IF($A255="","",IFERROR(IF(N(INDEX('Cars'!$H$4:$H$103,MATCH($A255,'Cars'!$A$4:$A$103,0)))&gt;0,INDEX('Cars'!$H$4:$H$103,MATCH($A255,'Cars'!$A$4:$A$103,0)),""),""))</f>
        <v/>
      </c>
      <c r="I255" s="19">
        <f>IF(OR($F255="",$H255=""),"",$F255-$H255)</f>
        <v/>
      </c>
      <c r="J255" s="21">
        <f>IF($G255="","",$G255-TODAY())</f>
        <v/>
      </c>
      <c r="K255" s="21">
        <f>IF($I255="","",IFERROR(IF(N(INDEX('Cars'!$J$4:$J$103,MATCH($A255,'Cars'!$A$4:$A$103,0)))&gt;0,ROUND($I255/INDEX('Cars'!$J$4:$J$103,MATCH($A255,'Cars'!$A$4:$A$103,0))*30,0),""),""))</f>
        <v/>
      </c>
      <c r="L255" s="21">
        <f>IF(AND($J255="",$K255=""),"",MIN(IF($J255="",99999,$J255),IF($K255="",99999,$K255)))</f>
        <v/>
      </c>
      <c r="M255" s="16">
        <f>IF(AND($I255="",$J255=""),"",IF(OR(AND($I255&lt;&gt;"",N($I255)&lt;0),AND($J255&lt;&gt;"",N($J255)&lt;0)),"Overdue",IF(OR(AND($I255&lt;&gt;"",N($I255)&lt;=IFERROR(INDEX('Intervals'!$E$4:$E$33,MATCH($B255,'Intervals'!$A$4:$A$33,0)),500)),AND($J255&lt;&gt;"",N($J255)&lt;=IFERROR(INDEX('Intervals'!$F$4:$F$33,MATCH($B255,'Intervals'!$A$4:$A$33,0)),14))),"Due soon","OK")))</f>
        <v/>
      </c>
      <c r="N255" s="15" t="n"/>
      <c r="O255" s="22">
        <f>IF(OR($M255="",$M255="OK"),"",$L255+ROW()/100000)</f>
        <v/>
      </c>
    </row>
    <row r="256">
      <c r="A256" s="15" t="n"/>
      <c r="B256" s="15" t="n"/>
      <c r="C256" s="16">
        <f>IF($B256="","",IFERROR(INDEX('Intervals'!$B$4:$B$33,MATCH($B256,'Intervals'!$A$4:$A$33,0)),""))</f>
        <v/>
      </c>
      <c r="D256" s="17" t="n"/>
      <c r="E256" s="18" t="n"/>
      <c r="F256" s="19">
        <f>IF(OR($B256="",$E256=""),"",IFERROR(IF(AND(INDEX('Intervals'!$G$4:$G$33,MATCH($B256,'Intervals'!$A$4:$A$33,0))&lt;&gt;"No",N(INDEX('Intervals'!$C$4:$C$33,MATCH($B256,'Intervals'!$A$4:$A$33,0)))&gt;0),$E256+N(INDEX('Intervals'!$C$4:$C$33,MATCH($B256,'Intervals'!$A$4:$A$33,0))),""),""))</f>
        <v/>
      </c>
      <c r="G256" s="20">
        <f>IF(OR($B256="",$D256=""),"",IFERROR(IF(AND(INDEX('Intervals'!$G$4:$G$33,MATCH($B256,'Intervals'!$A$4:$A$33,0))&lt;&gt;"No",N(INDEX('Intervals'!$D$4:$D$33,MATCH($B256,'Intervals'!$A$4:$A$33,0)))&gt;0),EDATE($D256,N(INDEX('Intervals'!$D$4:$D$33,MATCH($B256,'Intervals'!$A$4:$A$33,0)))),""),""))</f>
        <v/>
      </c>
      <c r="H256" s="19">
        <f>IF($A256="","",IFERROR(IF(N(INDEX('Cars'!$H$4:$H$103,MATCH($A256,'Cars'!$A$4:$A$103,0)))&gt;0,INDEX('Cars'!$H$4:$H$103,MATCH($A256,'Cars'!$A$4:$A$103,0)),""),""))</f>
        <v/>
      </c>
      <c r="I256" s="19">
        <f>IF(OR($F256="",$H256=""),"",$F256-$H256)</f>
        <v/>
      </c>
      <c r="J256" s="21">
        <f>IF($G256="","",$G256-TODAY())</f>
        <v/>
      </c>
      <c r="K256" s="21">
        <f>IF($I256="","",IFERROR(IF(N(INDEX('Cars'!$J$4:$J$103,MATCH($A256,'Cars'!$A$4:$A$103,0)))&gt;0,ROUND($I256/INDEX('Cars'!$J$4:$J$103,MATCH($A256,'Cars'!$A$4:$A$103,0))*30,0),""),""))</f>
        <v/>
      </c>
      <c r="L256" s="21">
        <f>IF(AND($J256="",$K256=""),"",MIN(IF($J256="",99999,$J256),IF($K256="",99999,$K256)))</f>
        <v/>
      </c>
      <c r="M256" s="16">
        <f>IF(AND($I256="",$J256=""),"",IF(OR(AND($I256&lt;&gt;"",N($I256)&lt;0),AND($J256&lt;&gt;"",N($J256)&lt;0)),"Overdue",IF(OR(AND($I256&lt;&gt;"",N($I256)&lt;=IFERROR(INDEX('Intervals'!$E$4:$E$33,MATCH($B256,'Intervals'!$A$4:$A$33,0)),500)),AND($J256&lt;&gt;"",N($J256)&lt;=IFERROR(INDEX('Intervals'!$F$4:$F$33,MATCH($B256,'Intervals'!$A$4:$A$33,0)),14))),"Due soon","OK")))</f>
        <v/>
      </c>
      <c r="N256" s="15" t="n"/>
      <c r="O256" s="22">
        <f>IF(OR($M256="",$M256="OK"),"",$L256+ROW()/100000)</f>
        <v/>
      </c>
    </row>
    <row r="257">
      <c r="A257" s="15" t="n"/>
      <c r="B257" s="15" t="n"/>
      <c r="C257" s="16">
        <f>IF($B257="","",IFERROR(INDEX('Intervals'!$B$4:$B$33,MATCH($B257,'Intervals'!$A$4:$A$33,0)),""))</f>
        <v/>
      </c>
      <c r="D257" s="17" t="n"/>
      <c r="E257" s="18" t="n"/>
      <c r="F257" s="19">
        <f>IF(OR($B257="",$E257=""),"",IFERROR(IF(AND(INDEX('Intervals'!$G$4:$G$33,MATCH($B257,'Intervals'!$A$4:$A$33,0))&lt;&gt;"No",N(INDEX('Intervals'!$C$4:$C$33,MATCH($B257,'Intervals'!$A$4:$A$33,0)))&gt;0),$E257+N(INDEX('Intervals'!$C$4:$C$33,MATCH($B257,'Intervals'!$A$4:$A$33,0))),""),""))</f>
        <v/>
      </c>
      <c r="G257" s="20">
        <f>IF(OR($B257="",$D257=""),"",IFERROR(IF(AND(INDEX('Intervals'!$G$4:$G$33,MATCH($B257,'Intervals'!$A$4:$A$33,0))&lt;&gt;"No",N(INDEX('Intervals'!$D$4:$D$33,MATCH($B257,'Intervals'!$A$4:$A$33,0)))&gt;0),EDATE($D257,N(INDEX('Intervals'!$D$4:$D$33,MATCH($B257,'Intervals'!$A$4:$A$33,0)))),""),""))</f>
        <v/>
      </c>
      <c r="H257" s="19">
        <f>IF($A257="","",IFERROR(IF(N(INDEX('Cars'!$H$4:$H$103,MATCH($A257,'Cars'!$A$4:$A$103,0)))&gt;0,INDEX('Cars'!$H$4:$H$103,MATCH($A257,'Cars'!$A$4:$A$103,0)),""),""))</f>
        <v/>
      </c>
      <c r="I257" s="19">
        <f>IF(OR($F257="",$H257=""),"",$F257-$H257)</f>
        <v/>
      </c>
      <c r="J257" s="21">
        <f>IF($G257="","",$G257-TODAY())</f>
        <v/>
      </c>
      <c r="K257" s="21">
        <f>IF($I257="","",IFERROR(IF(N(INDEX('Cars'!$J$4:$J$103,MATCH($A257,'Cars'!$A$4:$A$103,0)))&gt;0,ROUND($I257/INDEX('Cars'!$J$4:$J$103,MATCH($A257,'Cars'!$A$4:$A$103,0))*30,0),""),""))</f>
        <v/>
      </c>
      <c r="L257" s="21">
        <f>IF(AND($J257="",$K257=""),"",MIN(IF($J257="",99999,$J257),IF($K257="",99999,$K257)))</f>
        <v/>
      </c>
      <c r="M257" s="16">
        <f>IF(AND($I257="",$J257=""),"",IF(OR(AND($I257&lt;&gt;"",N($I257)&lt;0),AND($J257&lt;&gt;"",N($J257)&lt;0)),"Overdue",IF(OR(AND($I257&lt;&gt;"",N($I257)&lt;=IFERROR(INDEX('Intervals'!$E$4:$E$33,MATCH($B257,'Intervals'!$A$4:$A$33,0)),500)),AND($J257&lt;&gt;"",N($J257)&lt;=IFERROR(INDEX('Intervals'!$F$4:$F$33,MATCH($B257,'Intervals'!$A$4:$A$33,0)),14))),"Due soon","OK")))</f>
        <v/>
      </c>
      <c r="N257" s="15" t="n"/>
      <c r="O257" s="22">
        <f>IF(OR($M257="",$M257="OK"),"",$L257+ROW()/100000)</f>
        <v/>
      </c>
    </row>
    <row r="258">
      <c r="A258" s="15" t="n"/>
      <c r="B258" s="15" t="n"/>
      <c r="C258" s="16">
        <f>IF($B258="","",IFERROR(INDEX('Intervals'!$B$4:$B$33,MATCH($B258,'Intervals'!$A$4:$A$33,0)),""))</f>
        <v/>
      </c>
      <c r="D258" s="17" t="n"/>
      <c r="E258" s="18" t="n"/>
      <c r="F258" s="19">
        <f>IF(OR($B258="",$E258=""),"",IFERROR(IF(AND(INDEX('Intervals'!$G$4:$G$33,MATCH($B258,'Intervals'!$A$4:$A$33,0))&lt;&gt;"No",N(INDEX('Intervals'!$C$4:$C$33,MATCH($B258,'Intervals'!$A$4:$A$33,0)))&gt;0),$E258+N(INDEX('Intervals'!$C$4:$C$33,MATCH($B258,'Intervals'!$A$4:$A$33,0))),""),""))</f>
        <v/>
      </c>
      <c r="G258" s="20">
        <f>IF(OR($B258="",$D258=""),"",IFERROR(IF(AND(INDEX('Intervals'!$G$4:$G$33,MATCH($B258,'Intervals'!$A$4:$A$33,0))&lt;&gt;"No",N(INDEX('Intervals'!$D$4:$D$33,MATCH($B258,'Intervals'!$A$4:$A$33,0)))&gt;0),EDATE($D258,N(INDEX('Intervals'!$D$4:$D$33,MATCH($B258,'Intervals'!$A$4:$A$33,0)))),""),""))</f>
        <v/>
      </c>
      <c r="H258" s="19">
        <f>IF($A258="","",IFERROR(IF(N(INDEX('Cars'!$H$4:$H$103,MATCH($A258,'Cars'!$A$4:$A$103,0)))&gt;0,INDEX('Cars'!$H$4:$H$103,MATCH($A258,'Cars'!$A$4:$A$103,0)),""),""))</f>
        <v/>
      </c>
      <c r="I258" s="19">
        <f>IF(OR($F258="",$H258=""),"",$F258-$H258)</f>
        <v/>
      </c>
      <c r="J258" s="21">
        <f>IF($G258="","",$G258-TODAY())</f>
        <v/>
      </c>
      <c r="K258" s="21">
        <f>IF($I258="","",IFERROR(IF(N(INDEX('Cars'!$J$4:$J$103,MATCH($A258,'Cars'!$A$4:$A$103,0)))&gt;0,ROUND($I258/INDEX('Cars'!$J$4:$J$103,MATCH($A258,'Cars'!$A$4:$A$103,0))*30,0),""),""))</f>
        <v/>
      </c>
      <c r="L258" s="21">
        <f>IF(AND($J258="",$K258=""),"",MIN(IF($J258="",99999,$J258),IF($K258="",99999,$K258)))</f>
        <v/>
      </c>
      <c r="M258" s="16">
        <f>IF(AND($I258="",$J258=""),"",IF(OR(AND($I258&lt;&gt;"",N($I258)&lt;0),AND($J258&lt;&gt;"",N($J258)&lt;0)),"Overdue",IF(OR(AND($I258&lt;&gt;"",N($I258)&lt;=IFERROR(INDEX('Intervals'!$E$4:$E$33,MATCH($B258,'Intervals'!$A$4:$A$33,0)),500)),AND($J258&lt;&gt;"",N($J258)&lt;=IFERROR(INDEX('Intervals'!$F$4:$F$33,MATCH($B258,'Intervals'!$A$4:$A$33,0)),14))),"Due soon","OK")))</f>
        <v/>
      </c>
      <c r="N258" s="15" t="n"/>
      <c r="O258" s="22">
        <f>IF(OR($M258="",$M258="OK"),"",$L258+ROW()/100000)</f>
        <v/>
      </c>
    </row>
    <row r="259">
      <c r="A259" s="15" t="n"/>
      <c r="B259" s="15" t="n"/>
      <c r="C259" s="16">
        <f>IF($B259="","",IFERROR(INDEX('Intervals'!$B$4:$B$33,MATCH($B259,'Intervals'!$A$4:$A$33,0)),""))</f>
        <v/>
      </c>
      <c r="D259" s="17" t="n"/>
      <c r="E259" s="18" t="n"/>
      <c r="F259" s="19">
        <f>IF(OR($B259="",$E259=""),"",IFERROR(IF(AND(INDEX('Intervals'!$G$4:$G$33,MATCH($B259,'Intervals'!$A$4:$A$33,0))&lt;&gt;"No",N(INDEX('Intervals'!$C$4:$C$33,MATCH($B259,'Intervals'!$A$4:$A$33,0)))&gt;0),$E259+N(INDEX('Intervals'!$C$4:$C$33,MATCH($B259,'Intervals'!$A$4:$A$33,0))),""),""))</f>
        <v/>
      </c>
      <c r="G259" s="20">
        <f>IF(OR($B259="",$D259=""),"",IFERROR(IF(AND(INDEX('Intervals'!$G$4:$G$33,MATCH($B259,'Intervals'!$A$4:$A$33,0))&lt;&gt;"No",N(INDEX('Intervals'!$D$4:$D$33,MATCH($B259,'Intervals'!$A$4:$A$33,0)))&gt;0),EDATE($D259,N(INDEX('Intervals'!$D$4:$D$33,MATCH($B259,'Intervals'!$A$4:$A$33,0)))),""),""))</f>
        <v/>
      </c>
      <c r="H259" s="19">
        <f>IF($A259="","",IFERROR(IF(N(INDEX('Cars'!$H$4:$H$103,MATCH($A259,'Cars'!$A$4:$A$103,0)))&gt;0,INDEX('Cars'!$H$4:$H$103,MATCH($A259,'Cars'!$A$4:$A$103,0)),""),""))</f>
        <v/>
      </c>
      <c r="I259" s="19">
        <f>IF(OR($F259="",$H259=""),"",$F259-$H259)</f>
        <v/>
      </c>
      <c r="J259" s="21">
        <f>IF($G259="","",$G259-TODAY())</f>
        <v/>
      </c>
      <c r="K259" s="21">
        <f>IF($I259="","",IFERROR(IF(N(INDEX('Cars'!$J$4:$J$103,MATCH($A259,'Cars'!$A$4:$A$103,0)))&gt;0,ROUND($I259/INDEX('Cars'!$J$4:$J$103,MATCH($A259,'Cars'!$A$4:$A$103,0))*30,0),""),""))</f>
        <v/>
      </c>
      <c r="L259" s="21">
        <f>IF(AND($J259="",$K259=""),"",MIN(IF($J259="",99999,$J259),IF($K259="",99999,$K259)))</f>
        <v/>
      </c>
      <c r="M259" s="16">
        <f>IF(AND($I259="",$J259=""),"",IF(OR(AND($I259&lt;&gt;"",N($I259)&lt;0),AND($J259&lt;&gt;"",N($J259)&lt;0)),"Overdue",IF(OR(AND($I259&lt;&gt;"",N($I259)&lt;=IFERROR(INDEX('Intervals'!$E$4:$E$33,MATCH($B259,'Intervals'!$A$4:$A$33,0)),500)),AND($J259&lt;&gt;"",N($J259)&lt;=IFERROR(INDEX('Intervals'!$F$4:$F$33,MATCH($B259,'Intervals'!$A$4:$A$33,0)),14))),"Due soon","OK")))</f>
        <v/>
      </c>
      <c r="N259" s="15" t="n"/>
      <c r="O259" s="22">
        <f>IF(OR($M259="",$M259="OK"),"",$L259+ROW()/100000)</f>
        <v/>
      </c>
    </row>
    <row r="260">
      <c r="A260" s="15" t="n"/>
      <c r="B260" s="15" t="n"/>
      <c r="C260" s="16">
        <f>IF($B260="","",IFERROR(INDEX('Intervals'!$B$4:$B$33,MATCH($B260,'Intervals'!$A$4:$A$33,0)),""))</f>
        <v/>
      </c>
      <c r="D260" s="17" t="n"/>
      <c r="E260" s="18" t="n"/>
      <c r="F260" s="19">
        <f>IF(OR($B260="",$E260=""),"",IFERROR(IF(AND(INDEX('Intervals'!$G$4:$G$33,MATCH($B260,'Intervals'!$A$4:$A$33,0))&lt;&gt;"No",N(INDEX('Intervals'!$C$4:$C$33,MATCH($B260,'Intervals'!$A$4:$A$33,0)))&gt;0),$E260+N(INDEX('Intervals'!$C$4:$C$33,MATCH($B260,'Intervals'!$A$4:$A$33,0))),""),""))</f>
        <v/>
      </c>
      <c r="G260" s="20">
        <f>IF(OR($B260="",$D260=""),"",IFERROR(IF(AND(INDEX('Intervals'!$G$4:$G$33,MATCH($B260,'Intervals'!$A$4:$A$33,0))&lt;&gt;"No",N(INDEX('Intervals'!$D$4:$D$33,MATCH($B260,'Intervals'!$A$4:$A$33,0)))&gt;0),EDATE($D260,N(INDEX('Intervals'!$D$4:$D$33,MATCH($B260,'Intervals'!$A$4:$A$33,0)))),""),""))</f>
        <v/>
      </c>
      <c r="H260" s="19">
        <f>IF($A260="","",IFERROR(IF(N(INDEX('Cars'!$H$4:$H$103,MATCH($A260,'Cars'!$A$4:$A$103,0)))&gt;0,INDEX('Cars'!$H$4:$H$103,MATCH($A260,'Cars'!$A$4:$A$103,0)),""),""))</f>
        <v/>
      </c>
      <c r="I260" s="19">
        <f>IF(OR($F260="",$H260=""),"",$F260-$H260)</f>
        <v/>
      </c>
      <c r="J260" s="21">
        <f>IF($G260="","",$G260-TODAY())</f>
        <v/>
      </c>
      <c r="K260" s="21">
        <f>IF($I260="","",IFERROR(IF(N(INDEX('Cars'!$J$4:$J$103,MATCH($A260,'Cars'!$A$4:$A$103,0)))&gt;0,ROUND($I260/INDEX('Cars'!$J$4:$J$103,MATCH($A260,'Cars'!$A$4:$A$103,0))*30,0),""),""))</f>
        <v/>
      </c>
      <c r="L260" s="21">
        <f>IF(AND($J260="",$K260=""),"",MIN(IF($J260="",99999,$J260),IF($K260="",99999,$K260)))</f>
        <v/>
      </c>
      <c r="M260" s="16">
        <f>IF(AND($I260="",$J260=""),"",IF(OR(AND($I260&lt;&gt;"",N($I260)&lt;0),AND($J260&lt;&gt;"",N($J260)&lt;0)),"Overdue",IF(OR(AND($I260&lt;&gt;"",N($I260)&lt;=IFERROR(INDEX('Intervals'!$E$4:$E$33,MATCH($B260,'Intervals'!$A$4:$A$33,0)),500)),AND($J260&lt;&gt;"",N($J260)&lt;=IFERROR(INDEX('Intervals'!$F$4:$F$33,MATCH($B260,'Intervals'!$A$4:$A$33,0)),14))),"Due soon","OK")))</f>
        <v/>
      </c>
      <c r="N260" s="15" t="n"/>
      <c r="O260" s="22">
        <f>IF(OR($M260="",$M260="OK"),"",$L260+ROW()/100000)</f>
        <v/>
      </c>
    </row>
    <row r="261">
      <c r="A261" s="15" t="n"/>
      <c r="B261" s="15" t="n"/>
      <c r="C261" s="16">
        <f>IF($B261="","",IFERROR(INDEX('Intervals'!$B$4:$B$33,MATCH($B261,'Intervals'!$A$4:$A$33,0)),""))</f>
        <v/>
      </c>
      <c r="D261" s="17" t="n"/>
      <c r="E261" s="18" t="n"/>
      <c r="F261" s="19">
        <f>IF(OR($B261="",$E261=""),"",IFERROR(IF(AND(INDEX('Intervals'!$G$4:$G$33,MATCH($B261,'Intervals'!$A$4:$A$33,0))&lt;&gt;"No",N(INDEX('Intervals'!$C$4:$C$33,MATCH($B261,'Intervals'!$A$4:$A$33,0)))&gt;0),$E261+N(INDEX('Intervals'!$C$4:$C$33,MATCH($B261,'Intervals'!$A$4:$A$33,0))),""),""))</f>
        <v/>
      </c>
      <c r="G261" s="20">
        <f>IF(OR($B261="",$D261=""),"",IFERROR(IF(AND(INDEX('Intervals'!$G$4:$G$33,MATCH($B261,'Intervals'!$A$4:$A$33,0))&lt;&gt;"No",N(INDEX('Intervals'!$D$4:$D$33,MATCH($B261,'Intervals'!$A$4:$A$33,0)))&gt;0),EDATE($D261,N(INDEX('Intervals'!$D$4:$D$33,MATCH($B261,'Intervals'!$A$4:$A$33,0)))),""),""))</f>
        <v/>
      </c>
      <c r="H261" s="19">
        <f>IF($A261="","",IFERROR(IF(N(INDEX('Cars'!$H$4:$H$103,MATCH($A261,'Cars'!$A$4:$A$103,0)))&gt;0,INDEX('Cars'!$H$4:$H$103,MATCH($A261,'Cars'!$A$4:$A$103,0)),""),""))</f>
        <v/>
      </c>
      <c r="I261" s="19">
        <f>IF(OR($F261="",$H261=""),"",$F261-$H261)</f>
        <v/>
      </c>
      <c r="J261" s="21">
        <f>IF($G261="","",$G261-TODAY())</f>
        <v/>
      </c>
      <c r="K261" s="21">
        <f>IF($I261="","",IFERROR(IF(N(INDEX('Cars'!$J$4:$J$103,MATCH($A261,'Cars'!$A$4:$A$103,0)))&gt;0,ROUND($I261/INDEX('Cars'!$J$4:$J$103,MATCH($A261,'Cars'!$A$4:$A$103,0))*30,0),""),""))</f>
        <v/>
      </c>
      <c r="L261" s="21">
        <f>IF(AND($J261="",$K261=""),"",MIN(IF($J261="",99999,$J261),IF($K261="",99999,$K261)))</f>
        <v/>
      </c>
      <c r="M261" s="16">
        <f>IF(AND($I261="",$J261=""),"",IF(OR(AND($I261&lt;&gt;"",N($I261)&lt;0),AND($J261&lt;&gt;"",N($J261)&lt;0)),"Overdue",IF(OR(AND($I261&lt;&gt;"",N($I261)&lt;=IFERROR(INDEX('Intervals'!$E$4:$E$33,MATCH($B261,'Intervals'!$A$4:$A$33,0)),500)),AND($J261&lt;&gt;"",N($J261)&lt;=IFERROR(INDEX('Intervals'!$F$4:$F$33,MATCH($B261,'Intervals'!$A$4:$A$33,0)),14))),"Due soon","OK")))</f>
        <v/>
      </c>
      <c r="N261" s="15" t="n"/>
      <c r="O261" s="22">
        <f>IF(OR($M261="",$M261="OK"),"",$L261+ROW()/100000)</f>
        <v/>
      </c>
    </row>
    <row r="262">
      <c r="A262" s="15" t="n"/>
      <c r="B262" s="15" t="n"/>
      <c r="C262" s="16">
        <f>IF($B262="","",IFERROR(INDEX('Intervals'!$B$4:$B$33,MATCH($B262,'Intervals'!$A$4:$A$33,0)),""))</f>
        <v/>
      </c>
      <c r="D262" s="17" t="n"/>
      <c r="E262" s="18" t="n"/>
      <c r="F262" s="19">
        <f>IF(OR($B262="",$E262=""),"",IFERROR(IF(AND(INDEX('Intervals'!$G$4:$G$33,MATCH($B262,'Intervals'!$A$4:$A$33,0))&lt;&gt;"No",N(INDEX('Intervals'!$C$4:$C$33,MATCH($B262,'Intervals'!$A$4:$A$33,0)))&gt;0),$E262+N(INDEX('Intervals'!$C$4:$C$33,MATCH($B262,'Intervals'!$A$4:$A$33,0))),""),""))</f>
        <v/>
      </c>
      <c r="G262" s="20">
        <f>IF(OR($B262="",$D262=""),"",IFERROR(IF(AND(INDEX('Intervals'!$G$4:$G$33,MATCH($B262,'Intervals'!$A$4:$A$33,0))&lt;&gt;"No",N(INDEX('Intervals'!$D$4:$D$33,MATCH($B262,'Intervals'!$A$4:$A$33,0)))&gt;0),EDATE($D262,N(INDEX('Intervals'!$D$4:$D$33,MATCH($B262,'Intervals'!$A$4:$A$33,0)))),""),""))</f>
        <v/>
      </c>
      <c r="H262" s="19">
        <f>IF($A262="","",IFERROR(IF(N(INDEX('Cars'!$H$4:$H$103,MATCH($A262,'Cars'!$A$4:$A$103,0)))&gt;0,INDEX('Cars'!$H$4:$H$103,MATCH($A262,'Cars'!$A$4:$A$103,0)),""),""))</f>
        <v/>
      </c>
      <c r="I262" s="19">
        <f>IF(OR($F262="",$H262=""),"",$F262-$H262)</f>
        <v/>
      </c>
      <c r="J262" s="21">
        <f>IF($G262="","",$G262-TODAY())</f>
        <v/>
      </c>
      <c r="K262" s="21">
        <f>IF($I262="","",IFERROR(IF(N(INDEX('Cars'!$J$4:$J$103,MATCH($A262,'Cars'!$A$4:$A$103,0)))&gt;0,ROUND($I262/INDEX('Cars'!$J$4:$J$103,MATCH($A262,'Cars'!$A$4:$A$103,0))*30,0),""),""))</f>
        <v/>
      </c>
      <c r="L262" s="21">
        <f>IF(AND($J262="",$K262=""),"",MIN(IF($J262="",99999,$J262),IF($K262="",99999,$K262)))</f>
        <v/>
      </c>
      <c r="M262" s="16">
        <f>IF(AND($I262="",$J262=""),"",IF(OR(AND($I262&lt;&gt;"",N($I262)&lt;0),AND($J262&lt;&gt;"",N($J262)&lt;0)),"Overdue",IF(OR(AND($I262&lt;&gt;"",N($I262)&lt;=IFERROR(INDEX('Intervals'!$E$4:$E$33,MATCH($B262,'Intervals'!$A$4:$A$33,0)),500)),AND($J262&lt;&gt;"",N($J262)&lt;=IFERROR(INDEX('Intervals'!$F$4:$F$33,MATCH($B262,'Intervals'!$A$4:$A$33,0)),14))),"Due soon","OK")))</f>
        <v/>
      </c>
      <c r="N262" s="15" t="n"/>
      <c r="O262" s="22">
        <f>IF(OR($M262="",$M262="OK"),"",$L262+ROW()/100000)</f>
        <v/>
      </c>
    </row>
    <row r="263">
      <c r="A263" s="15" t="n"/>
      <c r="B263" s="15" t="n"/>
      <c r="C263" s="16">
        <f>IF($B263="","",IFERROR(INDEX('Intervals'!$B$4:$B$33,MATCH($B263,'Intervals'!$A$4:$A$33,0)),""))</f>
        <v/>
      </c>
      <c r="D263" s="17" t="n"/>
      <c r="E263" s="18" t="n"/>
      <c r="F263" s="19">
        <f>IF(OR($B263="",$E263=""),"",IFERROR(IF(AND(INDEX('Intervals'!$G$4:$G$33,MATCH($B263,'Intervals'!$A$4:$A$33,0))&lt;&gt;"No",N(INDEX('Intervals'!$C$4:$C$33,MATCH($B263,'Intervals'!$A$4:$A$33,0)))&gt;0),$E263+N(INDEX('Intervals'!$C$4:$C$33,MATCH($B263,'Intervals'!$A$4:$A$33,0))),""),""))</f>
        <v/>
      </c>
      <c r="G263" s="20">
        <f>IF(OR($B263="",$D263=""),"",IFERROR(IF(AND(INDEX('Intervals'!$G$4:$G$33,MATCH($B263,'Intervals'!$A$4:$A$33,0))&lt;&gt;"No",N(INDEX('Intervals'!$D$4:$D$33,MATCH($B263,'Intervals'!$A$4:$A$33,0)))&gt;0),EDATE($D263,N(INDEX('Intervals'!$D$4:$D$33,MATCH($B263,'Intervals'!$A$4:$A$33,0)))),""),""))</f>
        <v/>
      </c>
      <c r="H263" s="19">
        <f>IF($A263="","",IFERROR(IF(N(INDEX('Cars'!$H$4:$H$103,MATCH($A263,'Cars'!$A$4:$A$103,0)))&gt;0,INDEX('Cars'!$H$4:$H$103,MATCH($A263,'Cars'!$A$4:$A$103,0)),""),""))</f>
        <v/>
      </c>
      <c r="I263" s="19">
        <f>IF(OR($F263="",$H263=""),"",$F263-$H263)</f>
        <v/>
      </c>
      <c r="J263" s="21">
        <f>IF($G263="","",$G263-TODAY())</f>
        <v/>
      </c>
      <c r="K263" s="21">
        <f>IF($I263="","",IFERROR(IF(N(INDEX('Cars'!$J$4:$J$103,MATCH($A263,'Cars'!$A$4:$A$103,0)))&gt;0,ROUND($I263/INDEX('Cars'!$J$4:$J$103,MATCH($A263,'Cars'!$A$4:$A$103,0))*30,0),""),""))</f>
        <v/>
      </c>
      <c r="L263" s="21">
        <f>IF(AND($J263="",$K263=""),"",MIN(IF($J263="",99999,$J263),IF($K263="",99999,$K263)))</f>
        <v/>
      </c>
      <c r="M263" s="16">
        <f>IF(AND($I263="",$J263=""),"",IF(OR(AND($I263&lt;&gt;"",N($I263)&lt;0),AND($J263&lt;&gt;"",N($J263)&lt;0)),"Overdue",IF(OR(AND($I263&lt;&gt;"",N($I263)&lt;=IFERROR(INDEX('Intervals'!$E$4:$E$33,MATCH($B263,'Intervals'!$A$4:$A$33,0)),500)),AND($J263&lt;&gt;"",N($J263)&lt;=IFERROR(INDEX('Intervals'!$F$4:$F$33,MATCH($B263,'Intervals'!$A$4:$A$33,0)),14))),"Due soon","OK")))</f>
        <v/>
      </c>
      <c r="N263" s="15" t="n"/>
      <c r="O263" s="22">
        <f>IF(OR($M263="",$M263="OK"),"",$L263+ROW()/100000)</f>
        <v/>
      </c>
    </row>
    <row r="264">
      <c r="A264" s="15" t="n"/>
      <c r="B264" s="15" t="n"/>
      <c r="C264" s="16">
        <f>IF($B264="","",IFERROR(INDEX('Intervals'!$B$4:$B$33,MATCH($B264,'Intervals'!$A$4:$A$33,0)),""))</f>
        <v/>
      </c>
      <c r="D264" s="17" t="n"/>
      <c r="E264" s="18" t="n"/>
      <c r="F264" s="19">
        <f>IF(OR($B264="",$E264=""),"",IFERROR(IF(AND(INDEX('Intervals'!$G$4:$G$33,MATCH($B264,'Intervals'!$A$4:$A$33,0))&lt;&gt;"No",N(INDEX('Intervals'!$C$4:$C$33,MATCH($B264,'Intervals'!$A$4:$A$33,0)))&gt;0),$E264+N(INDEX('Intervals'!$C$4:$C$33,MATCH($B264,'Intervals'!$A$4:$A$33,0))),""),""))</f>
        <v/>
      </c>
      <c r="G264" s="20">
        <f>IF(OR($B264="",$D264=""),"",IFERROR(IF(AND(INDEX('Intervals'!$G$4:$G$33,MATCH($B264,'Intervals'!$A$4:$A$33,0))&lt;&gt;"No",N(INDEX('Intervals'!$D$4:$D$33,MATCH($B264,'Intervals'!$A$4:$A$33,0)))&gt;0),EDATE($D264,N(INDEX('Intervals'!$D$4:$D$33,MATCH($B264,'Intervals'!$A$4:$A$33,0)))),""),""))</f>
        <v/>
      </c>
      <c r="H264" s="19">
        <f>IF($A264="","",IFERROR(IF(N(INDEX('Cars'!$H$4:$H$103,MATCH($A264,'Cars'!$A$4:$A$103,0)))&gt;0,INDEX('Cars'!$H$4:$H$103,MATCH($A264,'Cars'!$A$4:$A$103,0)),""),""))</f>
        <v/>
      </c>
      <c r="I264" s="19">
        <f>IF(OR($F264="",$H264=""),"",$F264-$H264)</f>
        <v/>
      </c>
      <c r="J264" s="21">
        <f>IF($G264="","",$G264-TODAY())</f>
        <v/>
      </c>
      <c r="K264" s="21">
        <f>IF($I264="","",IFERROR(IF(N(INDEX('Cars'!$J$4:$J$103,MATCH($A264,'Cars'!$A$4:$A$103,0)))&gt;0,ROUND($I264/INDEX('Cars'!$J$4:$J$103,MATCH($A264,'Cars'!$A$4:$A$103,0))*30,0),""),""))</f>
        <v/>
      </c>
      <c r="L264" s="21">
        <f>IF(AND($J264="",$K264=""),"",MIN(IF($J264="",99999,$J264),IF($K264="",99999,$K264)))</f>
        <v/>
      </c>
      <c r="M264" s="16">
        <f>IF(AND($I264="",$J264=""),"",IF(OR(AND($I264&lt;&gt;"",N($I264)&lt;0),AND($J264&lt;&gt;"",N($J264)&lt;0)),"Overdue",IF(OR(AND($I264&lt;&gt;"",N($I264)&lt;=IFERROR(INDEX('Intervals'!$E$4:$E$33,MATCH($B264,'Intervals'!$A$4:$A$33,0)),500)),AND($J264&lt;&gt;"",N($J264)&lt;=IFERROR(INDEX('Intervals'!$F$4:$F$33,MATCH($B264,'Intervals'!$A$4:$A$33,0)),14))),"Due soon","OK")))</f>
        <v/>
      </c>
      <c r="N264" s="15" t="n"/>
      <c r="O264" s="22">
        <f>IF(OR($M264="",$M264="OK"),"",$L264+ROW()/100000)</f>
        <v/>
      </c>
    </row>
    <row r="265">
      <c r="A265" s="15" t="n"/>
      <c r="B265" s="15" t="n"/>
      <c r="C265" s="16">
        <f>IF($B265="","",IFERROR(INDEX('Intervals'!$B$4:$B$33,MATCH($B265,'Intervals'!$A$4:$A$33,0)),""))</f>
        <v/>
      </c>
      <c r="D265" s="17" t="n"/>
      <c r="E265" s="18" t="n"/>
      <c r="F265" s="19">
        <f>IF(OR($B265="",$E265=""),"",IFERROR(IF(AND(INDEX('Intervals'!$G$4:$G$33,MATCH($B265,'Intervals'!$A$4:$A$33,0))&lt;&gt;"No",N(INDEX('Intervals'!$C$4:$C$33,MATCH($B265,'Intervals'!$A$4:$A$33,0)))&gt;0),$E265+N(INDEX('Intervals'!$C$4:$C$33,MATCH($B265,'Intervals'!$A$4:$A$33,0))),""),""))</f>
        <v/>
      </c>
      <c r="G265" s="20">
        <f>IF(OR($B265="",$D265=""),"",IFERROR(IF(AND(INDEX('Intervals'!$G$4:$G$33,MATCH($B265,'Intervals'!$A$4:$A$33,0))&lt;&gt;"No",N(INDEX('Intervals'!$D$4:$D$33,MATCH($B265,'Intervals'!$A$4:$A$33,0)))&gt;0),EDATE($D265,N(INDEX('Intervals'!$D$4:$D$33,MATCH($B265,'Intervals'!$A$4:$A$33,0)))),""),""))</f>
        <v/>
      </c>
      <c r="H265" s="19">
        <f>IF($A265="","",IFERROR(IF(N(INDEX('Cars'!$H$4:$H$103,MATCH($A265,'Cars'!$A$4:$A$103,0)))&gt;0,INDEX('Cars'!$H$4:$H$103,MATCH($A265,'Cars'!$A$4:$A$103,0)),""),""))</f>
        <v/>
      </c>
      <c r="I265" s="19">
        <f>IF(OR($F265="",$H265=""),"",$F265-$H265)</f>
        <v/>
      </c>
      <c r="J265" s="21">
        <f>IF($G265="","",$G265-TODAY())</f>
        <v/>
      </c>
      <c r="K265" s="21">
        <f>IF($I265="","",IFERROR(IF(N(INDEX('Cars'!$J$4:$J$103,MATCH($A265,'Cars'!$A$4:$A$103,0)))&gt;0,ROUND($I265/INDEX('Cars'!$J$4:$J$103,MATCH($A265,'Cars'!$A$4:$A$103,0))*30,0),""),""))</f>
        <v/>
      </c>
      <c r="L265" s="21">
        <f>IF(AND($J265="",$K265=""),"",MIN(IF($J265="",99999,$J265),IF($K265="",99999,$K265)))</f>
        <v/>
      </c>
      <c r="M265" s="16">
        <f>IF(AND($I265="",$J265=""),"",IF(OR(AND($I265&lt;&gt;"",N($I265)&lt;0),AND($J265&lt;&gt;"",N($J265)&lt;0)),"Overdue",IF(OR(AND($I265&lt;&gt;"",N($I265)&lt;=IFERROR(INDEX('Intervals'!$E$4:$E$33,MATCH($B265,'Intervals'!$A$4:$A$33,0)),500)),AND($J265&lt;&gt;"",N($J265)&lt;=IFERROR(INDEX('Intervals'!$F$4:$F$33,MATCH($B265,'Intervals'!$A$4:$A$33,0)),14))),"Due soon","OK")))</f>
        <v/>
      </c>
      <c r="N265" s="15" t="n"/>
      <c r="O265" s="22">
        <f>IF(OR($M265="",$M265="OK"),"",$L265+ROW()/100000)</f>
        <v/>
      </c>
    </row>
    <row r="266">
      <c r="A266" s="15" t="n"/>
      <c r="B266" s="15" t="n"/>
      <c r="C266" s="16">
        <f>IF($B266="","",IFERROR(INDEX('Intervals'!$B$4:$B$33,MATCH($B266,'Intervals'!$A$4:$A$33,0)),""))</f>
        <v/>
      </c>
      <c r="D266" s="17" t="n"/>
      <c r="E266" s="18" t="n"/>
      <c r="F266" s="19">
        <f>IF(OR($B266="",$E266=""),"",IFERROR(IF(AND(INDEX('Intervals'!$G$4:$G$33,MATCH($B266,'Intervals'!$A$4:$A$33,0))&lt;&gt;"No",N(INDEX('Intervals'!$C$4:$C$33,MATCH($B266,'Intervals'!$A$4:$A$33,0)))&gt;0),$E266+N(INDEX('Intervals'!$C$4:$C$33,MATCH($B266,'Intervals'!$A$4:$A$33,0))),""),""))</f>
        <v/>
      </c>
      <c r="G266" s="20">
        <f>IF(OR($B266="",$D266=""),"",IFERROR(IF(AND(INDEX('Intervals'!$G$4:$G$33,MATCH($B266,'Intervals'!$A$4:$A$33,0))&lt;&gt;"No",N(INDEX('Intervals'!$D$4:$D$33,MATCH($B266,'Intervals'!$A$4:$A$33,0)))&gt;0),EDATE($D266,N(INDEX('Intervals'!$D$4:$D$33,MATCH($B266,'Intervals'!$A$4:$A$33,0)))),""),""))</f>
        <v/>
      </c>
      <c r="H266" s="19">
        <f>IF($A266="","",IFERROR(IF(N(INDEX('Cars'!$H$4:$H$103,MATCH($A266,'Cars'!$A$4:$A$103,0)))&gt;0,INDEX('Cars'!$H$4:$H$103,MATCH($A266,'Cars'!$A$4:$A$103,0)),""),""))</f>
        <v/>
      </c>
      <c r="I266" s="19">
        <f>IF(OR($F266="",$H266=""),"",$F266-$H266)</f>
        <v/>
      </c>
      <c r="J266" s="21">
        <f>IF($G266="","",$G266-TODAY())</f>
        <v/>
      </c>
      <c r="K266" s="21">
        <f>IF($I266="","",IFERROR(IF(N(INDEX('Cars'!$J$4:$J$103,MATCH($A266,'Cars'!$A$4:$A$103,0)))&gt;0,ROUND($I266/INDEX('Cars'!$J$4:$J$103,MATCH($A266,'Cars'!$A$4:$A$103,0))*30,0),""),""))</f>
        <v/>
      </c>
      <c r="L266" s="21">
        <f>IF(AND($J266="",$K266=""),"",MIN(IF($J266="",99999,$J266),IF($K266="",99999,$K266)))</f>
        <v/>
      </c>
      <c r="M266" s="16">
        <f>IF(AND($I266="",$J266=""),"",IF(OR(AND($I266&lt;&gt;"",N($I266)&lt;0),AND($J266&lt;&gt;"",N($J266)&lt;0)),"Overdue",IF(OR(AND($I266&lt;&gt;"",N($I266)&lt;=IFERROR(INDEX('Intervals'!$E$4:$E$33,MATCH($B266,'Intervals'!$A$4:$A$33,0)),500)),AND($J266&lt;&gt;"",N($J266)&lt;=IFERROR(INDEX('Intervals'!$F$4:$F$33,MATCH($B266,'Intervals'!$A$4:$A$33,0)),14))),"Due soon","OK")))</f>
        <v/>
      </c>
      <c r="N266" s="15" t="n"/>
      <c r="O266" s="22">
        <f>IF(OR($M266="",$M266="OK"),"",$L266+ROW()/100000)</f>
        <v/>
      </c>
    </row>
    <row r="267">
      <c r="A267" s="15" t="n"/>
      <c r="B267" s="15" t="n"/>
      <c r="C267" s="16">
        <f>IF($B267="","",IFERROR(INDEX('Intervals'!$B$4:$B$33,MATCH($B267,'Intervals'!$A$4:$A$33,0)),""))</f>
        <v/>
      </c>
      <c r="D267" s="17" t="n"/>
      <c r="E267" s="18" t="n"/>
      <c r="F267" s="19">
        <f>IF(OR($B267="",$E267=""),"",IFERROR(IF(AND(INDEX('Intervals'!$G$4:$G$33,MATCH($B267,'Intervals'!$A$4:$A$33,0))&lt;&gt;"No",N(INDEX('Intervals'!$C$4:$C$33,MATCH($B267,'Intervals'!$A$4:$A$33,0)))&gt;0),$E267+N(INDEX('Intervals'!$C$4:$C$33,MATCH($B267,'Intervals'!$A$4:$A$33,0))),""),""))</f>
        <v/>
      </c>
      <c r="G267" s="20">
        <f>IF(OR($B267="",$D267=""),"",IFERROR(IF(AND(INDEX('Intervals'!$G$4:$G$33,MATCH($B267,'Intervals'!$A$4:$A$33,0))&lt;&gt;"No",N(INDEX('Intervals'!$D$4:$D$33,MATCH($B267,'Intervals'!$A$4:$A$33,0)))&gt;0),EDATE($D267,N(INDEX('Intervals'!$D$4:$D$33,MATCH($B267,'Intervals'!$A$4:$A$33,0)))),""),""))</f>
        <v/>
      </c>
      <c r="H267" s="19">
        <f>IF($A267="","",IFERROR(IF(N(INDEX('Cars'!$H$4:$H$103,MATCH($A267,'Cars'!$A$4:$A$103,0)))&gt;0,INDEX('Cars'!$H$4:$H$103,MATCH($A267,'Cars'!$A$4:$A$103,0)),""),""))</f>
        <v/>
      </c>
      <c r="I267" s="19">
        <f>IF(OR($F267="",$H267=""),"",$F267-$H267)</f>
        <v/>
      </c>
      <c r="J267" s="21">
        <f>IF($G267="","",$G267-TODAY())</f>
        <v/>
      </c>
      <c r="K267" s="21">
        <f>IF($I267="","",IFERROR(IF(N(INDEX('Cars'!$J$4:$J$103,MATCH($A267,'Cars'!$A$4:$A$103,0)))&gt;0,ROUND($I267/INDEX('Cars'!$J$4:$J$103,MATCH($A267,'Cars'!$A$4:$A$103,0))*30,0),""),""))</f>
        <v/>
      </c>
      <c r="L267" s="21">
        <f>IF(AND($J267="",$K267=""),"",MIN(IF($J267="",99999,$J267),IF($K267="",99999,$K267)))</f>
        <v/>
      </c>
      <c r="M267" s="16">
        <f>IF(AND($I267="",$J267=""),"",IF(OR(AND($I267&lt;&gt;"",N($I267)&lt;0),AND($J267&lt;&gt;"",N($J267)&lt;0)),"Overdue",IF(OR(AND($I267&lt;&gt;"",N($I267)&lt;=IFERROR(INDEX('Intervals'!$E$4:$E$33,MATCH($B267,'Intervals'!$A$4:$A$33,0)),500)),AND($J267&lt;&gt;"",N($J267)&lt;=IFERROR(INDEX('Intervals'!$F$4:$F$33,MATCH($B267,'Intervals'!$A$4:$A$33,0)),14))),"Due soon","OK")))</f>
        <v/>
      </c>
      <c r="N267" s="15" t="n"/>
      <c r="O267" s="22">
        <f>IF(OR($M267="",$M267="OK"),"",$L267+ROW()/100000)</f>
        <v/>
      </c>
    </row>
    <row r="268">
      <c r="A268" s="15" t="n"/>
      <c r="B268" s="15" t="n"/>
      <c r="C268" s="16">
        <f>IF($B268="","",IFERROR(INDEX('Intervals'!$B$4:$B$33,MATCH($B268,'Intervals'!$A$4:$A$33,0)),""))</f>
        <v/>
      </c>
      <c r="D268" s="17" t="n"/>
      <c r="E268" s="18" t="n"/>
      <c r="F268" s="19">
        <f>IF(OR($B268="",$E268=""),"",IFERROR(IF(AND(INDEX('Intervals'!$G$4:$G$33,MATCH($B268,'Intervals'!$A$4:$A$33,0))&lt;&gt;"No",N(INDEX('Intervals'!$C$4:$C$33,MATCH($B268,'Intervals'!$A$4:$A$33,0)))&gt;0),$E268+N(INDEX('Intervals'!$C$4:$C$33,MATCH($B268,'Intervals'!$A$4:$A$33,0))),""),""))</f>
        <v/>
      </c>
      <c r="G268" s="20">
        <f>IF(OR($B268="",$D268=""),"",IFERROR(IF(AND(INDEX('Intervals'!$G$4:$G$33,MATCH($B268,'Intervals'!$A$4:$A$33,0))&lt;&gt;"No",N(INDEX('Intervals'!$D$4:$D$33,MATCH($B268,'Intervals'!$A$4:$A$33,0)))&gt;0),EDATE($D268,N(INDEX('Intervals'!$D$4:$D$33,MATCH($B268,'Intervals'!$A$4:$A$33,0)))),""),""))</f>
        <v/>
      </c>
      <c r="H268" s="19">
        <f>IF($A268="","",IFERROR(IF(N(INDEX('Cars'!$H$4:$H$103,MATCH($A268,'Cars'!$A$4:$A$103,0)))&gt;0,INDEX('Cars'!$H$4:$H$103,MATCH($A268,'Cars'!$A$4:$A$103,0)),""),""))</f>
        <v/>
      </c>
      <c r="I268" s="19">
        <f>IF(OR($F268="",$H268=""),"",$F268-$H268)</f>
        <v/>
      </c>
      <c r="J268" s="21">
        <f>IF($G268="","",$G268-TODAY())</f>
        <v/>
      </c>
      <c r="K268" s="21">
        <f>IF($I268="","",IFERROR(IF(N(INDEX('Cars'!$J$4:$J$103,MATCH($A268,'Cars'!$A$4:$A$103,0)))&gt;0,ROUND($I268/INDEX('Cars'!$J$4:$J$103,MATCH($A268,'Cars'!$A$4:$A$103,0))*30,0),""),""))</f>
        <v/>
      </c>
      <c r="L268" s="21">
        <f>IF(AND($J268="",$K268=""),"",MIN(IF($J268="",99999,$J268),IF($K268="",99999,$K268)))</f>
        <v/>
      </c>
      <c r="M268" s="16">
        <f>IF(AND($I268="",$J268=""),"",IF(OR(AND($I268&lt;&gt;"",N($I268)&lt;0),AND($J268&lt;&gt;"",N($J268)&lt;0)),"Overdue",IF(OR(AND($I268&lt;&gt;"",N($I268)&lt;=IFERROR(INDEX('Intervals'!$E$4:$E$33,MATCH($B268,'Intervals'!$A$4:$A$33,0)),500)),AND($J268&lt;&gt;"",N($J268)&lt;=IFERROR(INDEX('Intervals'!$F$4:$F$33,MATCH($B268,'Intervals'!$A$4:$A$33,0)),14))),"Due soon","OK")))</f>
        <v/>
      </c>
      <c r="N268" s="15" t="n"/>
      <c r="O268" s="22">
        <f>IF(OR($M268="",$M268="OK"),"",$L268+ROW()/100000)</f>
        <v/>
      </c>
    </row>
    <row r="269">
      <c r="A269" s="15" t="n"/>
      <c r="B269" s="15" t="n"/>
      <c r="C269" s="16">
        <f>IF($B269="","",IFERROR(INDEX('Intervals'!$B$4:$B$33,MATCH($B269,'Intervals'!$A$4:$A$33,0)),""))</f>
        <v/>
      </c>
      <c r="D269" s="17" t="n"/>
      <c r="E269" s="18" t="n"/>
      <c r="F269" s="19">
        <f>IF(OR($B269="",$E269=""),"",IFERROR(IF(AND(INDEX('Intervals'!$G$4:$G$33,MATCH($B269,'Intervals'!$A$4:$A$33,0))&lt;&gt;"No",N(INDEX('Intervals'!$C$4:$C$33,MATCH($B269,'Intervals'!$A$4:$A$33,0)))&gt;0),$E269+N(INDEX('Intervals'!$C$4:$C$33,MATCH($B269,'Intervals'!$A$4:$A$33,0))),""),""))</f>
        <v/>
      </c>
      <c r="G269" s="20">
        <f>IF(OR($B269="",$D269=""),"",IFERROR(IF(AND(INDEX('Intervals'!$G$4:$G$33,MATCH($B269,'Intervals'!$A$4:$A$33,0))&lt;&gt;"No",N(INDEX('Intervals'!$D$4:$D$33,MATCH($B269,'Intervals'!$A$4:$A$33,0)))&gt;0),EDATE($D269,N(INDEX('Intervals'!$D$4:$D$33,MATCH($B269,'Intervals'!$A$4:$A$33,0)))),""),""))</f>
        <v/>
      </c>
      <c r="H269" s="19">
        <f>IF($A269="","",IFERROR(IF(N(INDEX('Cars'!$H$4:$H$103,MATCH($A269,'Cars'!$A$4:$A$103,0)))&gt;0,INDEX('Cars'!$H$4:$H$103,MATCH($A269,'Cars'!$A$4:$A$103,0)),""),""))</f>
        <v/>
      </c>
      <c r="I269" s="19">
        <f>IF(OR($F269="",$H269=""),"",$F269-$H269)</f>
        <v/>
      </c>
      <c r="J269" s="21">
        <f>IF($G269="","",$G269-TODAY())</f>
        <v/>
      </c>
      <c r="K269" s="21">
        <f>IF($I269="","",IFERROR(IF(N(INDEX('Cars'!$J$4:$J$103,MATCH($A269,'Cars'!$A$4:$A$103,0)))&gt;0,ROUND($I269/INDEX('Cars'!$J$4:$J$103,MATCH($A269,'Cars'!$A$4:$A$103,0))*30,0),""),""))</f>
        <v/>
      </c>
      <c r="L269" s="21">
        <f>IF(AND($J269="",$K269=""),"",MIN(IF($J269="",99999,$J269),IF($K269="",99999,$K269)))</f>
        <v/>
      </c>
      <c r="M269" s="16">
        <f>IF(AND($I269="",$J269=""),"",IF(OR(AND($I269&lt;&gt;"",N($I269)&lt;0),AND($J269&lt;&gt;"",N($J269)&lt;0)),"Overdue",IF(OR(AND($I269&lt;&gt;"",N($I269)&lt;=IFERROR(INDEX('Intervals'!$E$4:$E$33,MATCH($B269,'Intervals'!$A$4:$A$33,0)),500)),AND($J269&lt;&gt;"",N($J269)&lt;=IFERROR(INDEX('Intervals'!$F$4:$F$33,MATCH($B269,'Intervals'!$A$4:$A$33,0)),14))),"Due soon","OK")))</f>
        <v/>
      </c>
      <c r="N269" s="15" t="n"/>
      <c r="O269" s="22">
        <f>IF(OR($M269="",$M269="OK"),"",$L269+ROW()/100000)</f>
        <v/>
      </c>
    </row>
    <row r="270">
      <c r="A270" s="15" t="n"/>
      <c r="B270" s="15" t="n"/>
      <c r="C270" s="16">
        <f>IF($B270="","",IFERROR(INDEX('Intervals'!$B$4:$B$33,MATCH($B270,'Intervals'!$A$4:$A$33,0)),""))</f>
        <v/>
      </c>
      <c r="D270" s="17" t="n"/>
      <c r="E270" s="18" t="n"/>
      <c r="F270" s="19">
        <f>IF(OR($B270="",$E270=""),"",IFERROR(IF(AND(INDEX('Intervals'!$G$4:$G$33,MATCH($B270,'Intervals'!$A$4:$A$33,0))&lt;&gt;"No",N(INDEX('Intervals'!$C$4:$C$33,MATCH($B270,'Intervals'!$A$4:$A$33,0)))&gt;0),$E270+N(INDEX('Intervals'!$C$4:$C$33,MATCH($B270,'Intervals'!$A$4:$A$33,0))),""),""))</f>
        <v/>
      </c>
      <c r="G270" s="20">
        <f>IF(OR($B270="",$D270=""),"",IFERROR(IF(AND(INDEX('Intervals'!$G$4:$G$33,MATCH($B270,'Intervals'!$A$4:$A$33,0))&lt;&gt;"No",N(INDEX('Intervals'!$D$4:$D$33,MATCH($B270,'Intervals'!$A$4:$A$33,0)))&gt;0),EDATE($D270,N(INDEX('Intervals'!$D$4:$D$33,MATCH($B270,'Intervals'!$A$4:$A$33,0)))),""),""))</f>
        <v/>
      </c>
      <c r="H270" s="19">
        <f>IF($A270="","",IFERROR(IF(N(INDEX('Cars'!$H$4:$H$103,MATCH($A270,'Cars'!$A$4:$A$103,0)))&gt;0,INDEX('Cars'!$H$4:$H$103,MATCH($A270,'Cars'!$A$4:$A$103,0)),""),""))</f>
        <v/>
      </c>
      <c r="I270" s="19">
        <f>IF(OR($F270="",$H270=""),"",$F270-$H270)</f>
        <v/>
      </c>
      <c r="J270" s="21">
        <f>IF($G270="","",$G270-TODAY())</f>
        <v/>
      </c>
      <c r="K270" s="21">
        <f>IF($I270="","",IFERROR(IF(N(INDEX('Cars'!$J$4:$J$103,MATCH($A270,'Cars'!$A$4:$A$103,0)))&gt;0,ROUND($I270/INDEX('Cars'!$J$4:$J$103,MATCH($A270,'Cars'!$A$4:$A$103,0))*30,0),""),""))</f>
        <v/>
      </c>
      <c r="L270" s="21">
        <f>IF(AND($J270="",$K270=""),"",MIN(IF($J270="",99999,$J270),IF($K270="",99999,$K270)))</f>
        <v/>
      </c>
      <c r="M270" s="16">
        <f>IF(AND($I270="",$J270=""),"",IF(OR(AND($I270&lt;&gt;"",N($I270)&lt;0),AND($J270&lt;&gt;"",N($J270)&lt;0)),"Overdue",IF(OR(AND($I270&lt;&gt;"",N($I270)&lt;=IFERROR(INDEX('Intervals'!$E$4:$E$33,MATCH($B270,'Intervals'!$A$4:$A$33,0)),500)),AND($J270&lt;&gt;"",N($J270)&lt;=IFERROR(INDEX('Intervals'!$F$4:$F$33,MATCH($B270,'Intervals'!$A$4:$A$33,0)),14))),"Due soon","OK")))</f>
        <v/>
      </c>
      <c r="N270" s="15" t="n"/>
      <c r="O270" s="22">
        <f>IF(OR($M270="",$M270="OK"),"",$L270+ROW()/100000)</f>
        <v/>
      </c>
    </row>
    <row r="271">
      <c r="A271" s="15" t="n"/>
      <c r="B271" s="15" t="n"/>
      <c r="C271" s="16">
        <f>IF($B271="","",IFERROR(INDEX('Intervals'!$B$4:$B$33,MATCH($B271,'Intervals'!$A$4:$A$33,0)),""))</f>
        <v/>
      </c>
      <c r="D271" s="17" t="n"/>
      <c r="E271" s="18" t="n"/>
      <c r="F271" s="19">
        <f>IF(OR($B271="",$E271=""),"",IFERROR(IF(AND(INDEX('Intervals'!$G$4:$G$33,MATCH($B271,'Intervals'!$A$4:$A$33,0))&lt;&gt;"No",N(INDEX('Intervals'!$C$4:$C$33,MATCH($B271,'Intervals'!$A$4:$A$33,0)))&gt;0),$E271+N(INDEX('Intervals'!$C$4:$C$33,MATCH($B271,'Intervals'!$A$4:$A$33,0))),""),""))</f>
        <v/>
      </c>
      <c r="G271" s="20">
        <f>IF(OR($B271="",$D271=""),"",IFERROR(IF(AND(INDEX('Intervals'!$G$4:$G$33,MATCH($B271,'Intervals'!$A$4:$A$33,0))&lt;&gt;"No",N(INDEX('Intervals'!$D$4:$D$33,MATCH($B271,'Intervals'!$A$4:$A$33,0)))&gt;0),EDATE($D271,N(INDEX('Intervals'!$D$4:$D$33,MATCH($B271,'Intervals'!$A$4:$A$33,0)))),""),""))</f>
        <v/>
      </c>
      <c r="H271" s="19">
        <f>IF($A271="","",IFERROR(IF(N(INDEX('Cars'!$H$4:$H$103,MATCH($A271,'Cars'!$A$4:$A$103,0)))&gt;0,INDEX('Cars'!$H$4:$H$103,MATCH($A271,'Cars'!$A$4:$A$103,0)),""),""))</f>
        <v/>
      </c>
      <c r="I271" s="19">
        <f>IF(OR($F271="",$H271=""),"",$F271-$H271)</f>
        <v/>
      </c>
      <c r="J271" s="21">
        <f>IF($G271="","",$G271-TODAY())</f>
        <v/>
      </c>
      <c r="K271" s="21">
        <f>IF($I271="","",IFERROR(IF(N(INDEX('Cars'!$J$4:$J$103,MATCH($A271,'Cars'!$A$4:$A$103,0)))&gt;0,ROUND($I271/INDEX('Cars'!$J$4:$J$103,MATCH($A271,'Cars'!$A$4:$A$103,0))*30,0),""),""))</f>
        <v/>
      </c>
      <c r="L271" s="21">
        <f>IF(AND($J271="",$K271=""),"",MIN(IF($J271="",99999,$J271),IF($K271="",99999,$K271)))</f>
        <v/>
      </c>
      <c r="M271" s="16">
        <f>IF(AND($I271="",$J271=""),"",IF(OR(AND($I271&lt;&gt;"",N($I271)&lt;0),AND($J271&lt;&gt;"",N($J271)&lt;0)),"Overdue",IF(OR(AND($I271&lt;&gt;"",N($I271)&lt;=IFERROR(INDEX('Intervals'!$E$4:$E$33,MATCH($B271,'Intervals'!$A$4:$A$33,0)),500)),AND($J271&lt;&gt;"",N($J271)&lt;=IFERROR(INDEX('Intervals'!$F$4:$F$33,MATCH($B271,'Intervals'!$A$4:$A$33,0)),14))),"Due soon","OK")))</f>
        <v/>
      </c>
      <c r="N271" s="15" t="n"/>
      <c r="O271" s="22">
        <f>IF(OR($M271="",$M271="OK"),"",$L271+ROW()/100000)</f>
        <v/>
      </c>
    </row>
    <row r="272">
      <c r="A272" s="15" t="n"/>
      <c r="B272" s="15" t="n"/>
      <c r="C272" s="16">
        <f>IF($B272="","",IFERROR(INDEX('Intervals'!$B$4:$B$33,MATCH($B272,'Intervals'!$A$4:$A$33,0)),""))</f>
        <v/>
      </c>
      <c r="D272" s="17" t="n"/>
      <c r="E272" s="18" t="n"/>
      <c r="F272" s="19">
        <f>IF(OR($B272="",$E272=""),"",IFERROR(IF(AND(INDEX('Intervals'!$G$4:$G$33,MATCH($B272,'Intervals'!$A$4:$A$33,0))&lt;&gt;"No",N(INDEX('Intervals'!$C$4:$C$33,MATCH($B272,'Intervals'!$A$4:$A$33,0)))&gt;0),$E272+N(INDEX('Intervals'!$C$4:$C$33,MATCH($B272,'Intervals'!$A$4:$A$33,0))),""),""))</f>
        <v/>
      </c>
      <c r="G272" s="20">
        <f>IF(OR($B272="",$D272=""),"",IFERROR(IF(AND(INDEX('Intervals'!$G$4:$G$33,MATCH($B272,'Intervals'!$A$4:$A$33,0))&lt;&gt;"No",N(INDEX('Intervals'!$D$4:$D$33,MATCH($B272,'Intervals'!$A$4:$A$33,0)))&gt;0),EDATE($D272,N(INDEX('Intervals'!$D$4:$D$33,MATCH($B272,'Intervals'!$A$4:$A$33,0)))),""),""))</f>
        <v/>
      </c>
      <c r="H272" s="19">
        <f>IF($A272="","",IFERROR(IF(N(INDEX('Cars'!$H$4:$H$103,MATCH($A272,'Cars'!$A$4:$A$103,0)))&gt;0,INDEX('Cars'!$H$4:$H$103,MATCH($A272,'Cars'!$A$4:$A$103,0)),""),""))</f>
        <v/>
      </c>
      <c r="I272" s="19">
        <f>IF(OR($F272="",$H272=""),"",$F272-$H272)</f>
        <v/>
      </c>
      <c r="J272" s="21">
        <f>IF($G272="","",$G272-TODAY())</f>
        <v/>
      </c>
      <c r="K272" s="21">
        <f>IF($I272="","",IFERROR(IF(N(INDEX('Cars'!$J$4:$J$103,MATCH($A272,'Cars'!$A$4:$A$103,0)))&gt;0,ROUND($I272/INDEX('Cars'!$J$4:$J$103,MATCH($A272,'Cars'!$A$4:$A$103,0))*30,0),""),""))</f>
        <v/>
      </c>
      <c r="L272" s="21">
        <f>IF(AND($J272="",$K272=""),"",MIN(IF($J272="",99999,$J272),IF($K272="",99999,$K272)))</f>
        <v/>
      </c>
      <c r="M272" s="16">
        <f>IF(AND($I272="",$J272=""),"",IF(OR(AND($I272&lt;&gt;"",N($I272)&lt;0),AND($J272&lt;&gt;"",N($J272)&lt;0)),"Overdue",IF(OR(AND($I272&lt;&gt;"",N($I272)&lt;=IFERROR(INDEX('Intervals'!$E$4:$E$33,MATCH($B272,'Intervals'!$A$4:$A$33,0)),500)),AND($J272&lt;&gt;"",N($J272)&lt;=IFERROR(INDEX('Intervals'!$F$4:$F$33,MATCH($B272,'Intervals'!$A$4:$A$33,0)),14))),"Due soon","OK")))</f>
        <v/>
      </c>
      <c r="N272" s="15" t="n"/>
      <c r="O272" s="22">
        <f>IF(OR($M272="",$M272="OK"),"",$L272+ROW()/100000)</f>
        <v/>
      </c>
    </row>
    <row r="273">
      <c r="A273" s="15" t="n"/>
      <c r="B273" s="15" t="n"/>
      <c r="C273" s="16">
        <f>IF($B273="","",IFERROR(INDEX('Intervals'!$B$4:$B$33,MATCH($B273,'Intervals'!$A$4:$A$33,0)),""))</f>
        <v/>
      </c>
      <c r="D273" s="17" t="n"/>
      <c r="E273" s="18" t="n"/>
      <c r="F273" s="19">
        <f>IF(OR($B273="",$E273=""),"",IFERROR(IF(AND(INDEX('Intervals'!$G$4:$G$33,MATCH($B273,'Intervals'!$A$4:$A$33,0))&lt;&gt;"No",N(INDEX('Intervals'!$C$4:$C$33,MATCH($B273,'Intervals'!$A$4:$A$33,0)))&gt;0),$E273+N(INDEX('Intervals'!$C$4:$C$33,MATCH($B273,'Intervals'!$A$4:$A$33,0))),""),""))</f>
        <v/>
      </c>
      <c r="G273" s="20">
        <f>IF(OR($B273="",$D273=""),"",IFERROR(IF(AND(INDEX('Intervals'!$G$4:$G$33,MATCH($B273,'Intervals'!$A$4:$A$33,0))&lt;&gt;"No",N(INDEX('Intervals'!$D$4:$D$33,MATCH($B273,'Intervals'!$A$4:$A$33,0)))&gt;0),EDATE($D273,N(INDEX('Intervals'!$D$4:$D$33,MATCH($B273,'Intervals'!$A$4:$A$33,0)))),""),""))</f>
        <v/>
      </c>
      <c r="H273" s="19">
        <f>IF($A273="","",IFERROR(IF(N(INDEX('Cars'!$H$4:$H$103,MATCH($A273,'Cars'!$A$4:$A$103,0)))&gt;0,INDEX('Cars'!$H$4:$H$103,MATCH($A273,'Cars'!$A$4:$A$103,0)),""),""))</f>
        <v/>
      </c>
      <c r="I273" s="19">
        <f>IF(OR($F273="",$H273=""),"",$F273-$H273)</f>
        <v/>
      </c>
      <c r="J273" s="21">
        <f>IF($G273="","",$G273-TODAY())</f>
        <v/>
      </c>
      <c r="K273" s="21">
        <f>IF($I273="","",IFERROR(IF(N(INDEX('Cars'!$J$4:$J$103,MATCH($A273,'Cars'!$A$4:$A$103,0)))&gt;0,ROUND($I273/INDEX('Cars'!$J$4:$J$103,MATCH($A273,'Cars'!$A$4:$A$103,0))*30,0),""),""))</f>
        <v/>
      </c>
      <c r="L273" s="21">
        <f>IF(AND($J273="",$K273=""),"",MIN(IF($J273="",99999,$J273),IF($K273="",99999,$K273)))</f>
        <v/>
      </c>
      <c r="M273" s="16">
        <f>IF(AND($I273="",$J273=""),"",IF(OR(AND($I273&lt;&gt;"",N($I273)&lt;0),AND($J273&lt;&gt;"",N($J273)&lt;0)),"Overdue",IF(OR(AND($I273&lt;&gt;"",N($I273)&lt;=IFERROR(INDEX('Intervals'!$E$4:$E$33,MATCH($B273,'Intervals'!$A$4:$A$33,0)),500)),AND($J273&lt;&gt;"",N($J273)&lt;=IFERROR(INDEX('Intervals'!$F$4:$F$33,MATCH($B273,'Intervals'!$A$4:$A$33,0)),14))),"Due soon","OK")))</f>
        <v/>
      </c>
      <c r="N273" s="15" t="n"/>
      <c r="O273" s="22">
        <f>IF(OR($M273="",$M273="OK"),"",$L273+ROW()/100000)</f>
        <v/>
      </c>
    </row>
    <row r="274">
      <c r="A274" s="15" t="n"/>
      <c r="B274" s="15" t="n"/>
      <c r="C274" s="16">
        <f>IF($B274="","",IFERROR(INDEX('Intervals'!$B$4:$B$33,MATCH($B274,'Intervals'!$A$4:$A$33,0)),""))</f>
        <v/>
      </c>
      <c r="D274" s="17" t="n"/>
      <c r="E274" s="18" t="n"/>
      <c r="F274" s="19">
        <f>IF(OR($B274="",$E274=""),"",IFERROR(IF(AND(INDEX('Intervals'!$G$4:$G$33,MATCH($B274,'Intervals'!$A$4:$A$33,0))&lt;&gt;"No",N(INDEX('Intervals'!$C$4:$C$33,MATCH($B274,'Intervals'!$A$4:$A$33,0)))&gt;0),$E274+N(INDEX('Intervals'!$C$4:$C$33,MATCH($B274,'Intervals'!$A$4:$A$33,0))),""),""))</f>
        <v/>
      </c>
      <c r="G274" s="20">
        <f>IF(OR($B274="",$D274=""),"",IFERROR(IF(AND(INDEX('Intervals'!$G$4:$G$33,MATCH($B274,'Intervals'!$A$4:$A$33,0))&lt;&gt;"No",N(INDEX('Intervals'!$D$4:$D$33,MATCH($B274,'Intervals'!$A$4:$A$33,0)))&gt;0),EDATE($D274,N(INDEX('Intervals'!$D$4:$D$33,MATCH($B274,'Intervals'!$A$4:$A$33,0)))),""),""))</f>
        <v/>
      </c>
      <c r="H274" s="19">
        <f>IF($A274="","",IFERROR(IF(N(INDEX('Cars'!$H$4:$H$103,MATCH($A274,'Cars'!$A$4:$A$103,0)))&gt;0,INDEX('Cars'!$H$4:$H$103,MATCH($A274,'Cars'!$A$4:$A$103,0)),""),""))</f>
        <v/>
      </c>
      <c r="I274" s="19">
        <f>IF(OR($F274="",$H274=""),"",$F274-$H274)</f>
        <v/>
      </c>
      <c r="J274" s="21">
        <f>IF($G274="","",$G274-TODAY())</f>
        <v/>
      </c>
      <c r="K274" s="21">
        <f>IF($I274="","",IFERROR(IF(N(INDEX('Cars'!$J$4:$J$103,MATCH($A274,'Cars'!$A$4:$A$103,0)))&gt;0,ROUND($I274/INDEX('Cars'!$J$4:$J$103,MATCH($A274,'Cars'!$A$4:$A$103,0))*30,0),""),""))</f>
        <v/>
      </c>
      <c r="L274" s="21">
        <f>IF(AND($J274="",$K274=""),"",MIN(IF($J274="",99999,$J274),IF($K274="",99999,$K274)))</f>
        <v/>
      </c>
      <c r="M274" s="16">
        <f>IF(AND($I274="",$J274=""),"",IF(OR(AND($I274&lt;&gt;"",N($I274)&lt;0),AND($J274&lt;&gt;"",N($J274)&lt;0)),"Overdue",IF(OR(AND($I274&lt;&gt;"",N($I274)&lt;=IFERROR(INDEX('Intervals'!$E$4:$E$33,MATCH($B274,'Intervals'!$A$4:$A$33,0)),500)),AND($J274&lt;&gt;"",N($J274)&lt;=IFERROR(INDEX('Intervals'!$F$4:$F$33,MATCH($B274,'Intervals'!$A$4:$A$33,0)),14))),"Due soon","OK")))</f>
        <v/>
      </c>
      <c r="N274" s="15" t="n"/>
      <c r="O274" s="22">
        <f>IF(OR($M274="",$M274="OK"),"",$L274+ROW()/100000)</f>
        <v/>
      </c>
    </row>
    <row r="275">
      <c r="A275" s="15" t="n"/>
      <c r="B275" s="15" t="n"/>
      <c r="C275" s="16">
        <f>IF($B275="","",IFERROR(INDEX('Intervals'!$B$4:$B$33,MATCH($B275,'Intervals'!$A$4:$A$33,0)),""))</f>
        <v/>
      </c>
      <c r="D275" s="17" t="n"/>
      <c r="E275" s="18" t="n"/>
      <c r="F275" s="19">
        <f>IF(OR($B275="",$E275=""),"",IFERROR(IF(AND(INDEX('Intervals'!$G$4:$G$33,MATCH($B275,'Intervals'!$A$4:$A$33,0))&lt;&gt;"No",N(INDEX('Intervals'!$C$4:$C$33,MATCH($B275,'Intervals'!$A$4:$A$33,0)))&gt;0),$E275+N(INDEX('Intervals'!$C$4:$C$33,MATCH($B275,'Intervals'!$A$4:$A$33,0))),""),""))</f>
        <v/>
      </c>
      <c r="G275" s="20">
        <f>IF(OR($B275="",$D275=""),"",IFERROR(IF(AND(INDEX('Intervals'!$G$4:$G$33,MATCH($B275,'Intervals'!$A$4:$A$33,0))&lt;&gt;"No",N(INDEX('Intervals'!$D$4:$D$33,MATCH($B275,'Intervals'!$A$4:$A$33,0)))&gt;0),EDATE($D275,N(INDEX('Intervals'!$D$4:$D$33,MATCH($B275,'Intervals'!$A$4:$A$33,0)))),""),""))</f>
        <v/>
      </c>
      <c r="H275" s="19">
        <f>IF($A275="","",IFERROR(IF(N(INDEX('Cars'!$H$4:$H$103,MATCH($A275,'Cars'!$A$4:$A$103,0)))&gt;0,INDEX('Cars'!$H$4:$H$103,MATCH($A275,'Cars'!$A$4:$A$103,0)),""),""))</f>
        <v/>
      </c>
      <c r="I275" s="19">
        <f>IF(OR($F275="",$H275=""),"",$F275-$H275)</f>
        <v/>
      </c>
      <c r="J275" s="21">
        <f>IF($G275="","",$G275-TODAY())</f>
        <v/>
      </c>
      <c r="K275" s="21">
        <f>IF($I275="","",IFERROR(IF(N(INDEX('Cars'!$J$4:$J$103,MATCH($A275,'Cars'!$A$4:$A$103,0)))&gt;0,ROUND($I275/INDEX('Cars'!$J$4:$J$103,MATCH($A275,'Cars'!$A$4:$A$103,0))*30,0),""),""))</f>
        <v/>
      </c>
      <c r="L275" s="21">
        <f>IF(AND($J275="",$K275=""),"",MIN(IF($J275="",99999,$J275),IF($K275="",99999,$K275)))</f>
        <v/>
      </c>
      <c r="M275" s="16">
        <f>IF(AND($I275="",$J275=""),"",IF(OR(AND($I275&lt;&gt;"",N($I275)&lt;0),AND($J275&lt;&gt;"",N($J275)&lt;0)),"Overdue",IF(OR(AND($I275&lt;&gt;"",N($I275)&lt;=IFERROR(INDEX('Intervals'!$E$4:$E$33,MATCH($B275,'Intervals'!$A$4:$A$33,0)),500)),AND($J275&lt;&gt;"",N($J275)&lt;=IFERROR(INDEX('Intervals'!$F$4:$F$33,MATCH($B275,'Intervals'!$A$4:$A$33,0)),14))),"Due soon","OK")))</f>
        <v/>
      </c>
      <c r="N275" s="15" t="n"/>
      <c r="O275" s="22">
        <f>IF(OR($M275="",$M275="OK"),"",$L275+ROW()/100000)</f>
        <v/>
      </c>
    </row>
    <row r="276">
      <c r="A276" s="15" t="n"/>
      <c r="B276" s="15" t="n"/>
      <c r="C276" s="16">
        <f>IF($B276="","",IFERROR(INDEX('Intervals'!$B$4:$B$33,MATCH($B276,'Intervals'!$A$4:$A$33,0)),""))</f>
        <v/>
      </c>
      <c r="D276" s="17" t="n"/>
      <c r="E276" s="18" t="n"/>
      <c r="F276" s="19">
        <f>IF(OR($B276="",$E276=""),"",IFERROR(IF(AND(INDEX('Intervals'!$G$4:$G$33,MATCH($B276,'Intervals'!$A$4:$A$33,0))&lt;&gt;"No",N(INDEX('Intervals'!$C$4:$C$33,MATCH($B276,'Intervals'!$A$4:$A$33,0)))&gt;0),$E276+N(INDEX('Intervals'!$C$4:$C$33,MATCH($B276,'Intervals'!$A$4:$A$33,0))),""),""))</f>
        <v/>
      </c>
      <c r="G276" s="20">
        <f>IF(OR($B276="",$D276=""),"",IFERROR(IF(AND(INDEX('Intervals'!$G$4:$G$33,MATCH($B276,'Intervals'!$A$4:$A$33,0))&lt;&gt;"No",N(INDEX('Intervals'!$D$4:$D$33,MATCH($B276,'Intervals'!$A$4:$A$33,0)))&gt;0),EDATE($D276,N(INDEX('Intervals'!$D$4:$D$33,MATCH($B276,'Intervals'!$A$4:$A$33,0)))),""),""))</f>
        <v/>
      </c>
      <c r="H276" s="19">
        <f>IF($A276="","",IFERROR(IF(N(INDEX('Cars'!$H$4:$H$103,MATCH($A276,'Cars'!$A$4:$A$103,0)))&gt;0,INDEX('Cars'!$H$4:$H$103,MATCH($A276,'Cars'!$A$4:$A$103,0)),""),""))</f>
        <v/>
      </c>
      <c r="I276" s="19">
        <f>IF(OR($F276="",$H276=""),"",$F276-$H276)</f>
        <v/>
      </c>
      <c r="J276" s="21">
        <f>IF($G276="","",$G276-TODAY())</f>
        <v/>
      </c>
      <c r="K276" s="21">
        <f>IF($I276="","",IFERROR(IF(N(INDEX('Cars'!$J$4:$J$103,MATCH($A276,'Cars'!$A$4:$A$103,0)))&gt;0,ROUND($I276/INDEX('Cars'!$J$4:$J$103,MATCH($A276,'Cars'!$A$4:$A$103,0))*30,0),""),""))</f>
        <v/>
      </c>
      <c r="L276" s="21">
        <f>IF(AND($J276="",$K276=""),"",MIN(IF($J276="",99999,$J276),IF($K276="",99999,$K276)))</f>
        <v/>
      </c>
      <c r="M276" s="16">
        <f>IF(AND($I276="",$J276=""),"",IF(OR(AND($I276&lt;&gt;"",N($I276)&lt;0),AND($J276&lt;&gt;"",N($J276)&lt;0)),"Overdue",IF(OR(AND($I276&lt;&gt;"",N($I276)&lt;=IFERROR(INDEX('Intervals'!$E$4:$E$33,MATCH($B276,'Intervals'!$A$4:$A$33,0)),500)),AND($J276&lt;&gt;"",N($J276)&lt;=IFERROR(INDEX('Intervals'!$F$4:$F$33,MATCH($B276,'Intervals'!$A$4:$A$33,0)),14))),"Due soon","OK")))</f>
        <v/>
      </c>
      <c r="N276" s="15" t="n"/>
      <c r="O276" s="22">
        <f>IF(OR($M276="",$M276="OK"),"",$L276+ROW()/100000)</f>
        <v/>
      </c>
    </row>
    <row r="277">
      <c r="A277" s="15" t="n"/>
      <c r="B277" s="15" t="n"/>
      <c r="C277" s="16">
        <f>IF($B277="","",IFERROR(INDEX('Intervals'!$B$4:$B$33,MATCH($B277,'Intervals'!$A$4:$A$33,0)),""))</f>
        <v/>
      </c>
      <c r="D277" s="17" t="n"/>
      <c r="E277" s="18" t="n"/>
      <c r="F277" s="19">
        <f>IF(OR($B277="",$E277=""),"",IFERROR(IF(AND(INDEX('Intervals'!$G$4:$G$33,MATCH($B277,'Intervals'!$A$4:$A$33,0))&lt;&gt;"No",N(INDEX('Intervals'!$C$4:$C$33,MATCH($B277,'Intervals'!$A$4:$A$33,0)))&gt;0),$E277+N(INDEX('Intervals'!$C$4:$C$33,MATCH($B277,'Intervals'!$A$4:$A$33,0))),""),""))</f>
        <v/>
      </c>
      <c r="G277" s="20">
        <f>IF(OR($B277="",$D277=""),"",IFERROR(IF(AND(INDEX('Intervals'!$G$4:$G$33,MATCH($B277,'Intervals'!$A$4:$A$33,0))&lt;&gt;"No",N(INDEX('Intervals'!$D$4:$D$33,MATCH($B277,'Intervals'!$A$4:$A$33,0)))&gt;0),EDATE($D277,N(INDEX('Intervals'!$D$4:$D$33,MATCH($B277,'Intervals'!$A$4:$A$33,0)))),""),""))</f>
        <v/>
      </c>
      <c r="H277" s="19">
        <f>IF($A277="","",IFERROR(IF(N(INDEX('Cars'!$H$4:$H$103,MATCH($A277,'Cars'!$A$4:$A$103,0)))&gt;0,INDEX('Cars'!$H$4:$H$103,MATCH($A277,'Cars'!$A$4:$A$103,0)),""),""))</f>
        <v/>
      </c>
      <c r="I277" s="19">
        <f>IF(OR($F277="",$H277=""),"",$F277-$H277)</f>
        <v/>
      </c>
      <c r="J277" s="21">
        <f>IF($G277="","",$G277-TODAY())</f>
        <v/>
      </c>
      <c r="K277" s="21">
        <f>IF($I277="","",IFERROR(IF(N(INDEX('Cars'!$J$4:$J$103,MATCH($A277,'Cars'!$A$4:$A$103,0)))&gt;0,ROUND($I277/INDEX('Cars'!$J$4:$J$103,MATCH($A277,'Cars'!$A$4:$A$103,0))*30,0),""),""))</f>
        <v/>
      </c>
      <c r="L277" s="21">
        <f>IF(AND($J277="",$K277=""),"",MIN(IF($J277="",99999,$J277),IF($K277="",99999,$K277)))</f>
        <v/>
      </c>
      <c r="M277" s="16">
        <f>IF(AND($I277="",$J277=""),"",IF(OR(AND($I277&lt;&gt;"",N($I277)&lt;0),AND($J277&lt;&gt;"",N($J277)&lt;0)),"Overdue",IF(OR(AND($I277&lt;&gt;"",N($I277)&lt;=IFERROR(INDEX('Intervals'!$E$4:$E$33,MATCH($B277,'Intervals'!$A$4:$A$33,0)),500)),AND($J277&lt;&gt;"",N($J277)&lt;=IFERROR(INDEX('Intervals'!$F$4:$F$33,MATCH($B277,'Intervals'!$A$4:$A$33,0)),14))),"Due soon","OK")))</f>
        <v/>
      </c>
      <c r="N277" s="15" t="n"/>
      <c r="O277" s="22">
        <f>IF(OR($M277="",$M277="OK"),"",$L277+ROW()/100000)</f>
        <v/>
      </c>
    </row>
    <row r="278">
      <c r="A278" s="15" t="n"/>
      <c r="B278" s="15" t="n"/>
      <c r="C278" s="16">
        <f>IF($B278="","",IFERROR(INDEX('Intervals'!$B$4:$B$33,MATCH($B278,'Intervals'!$A$4:$A$33,0)),""))</f>
        <v/>
      </c>
      <c r="D278" s="17" t="n"/>
      <c r="E278" s="18" t="n"/>
      <c r="F278" s="19">
        <f>IF(OR($B278="",$E278=""),"",IFERROR(IF(AND(INDEX('Intervals'!$G$4:$G$33,MATCH($B278,'Intervals'!$A$4:$A$33,0))&lt;&gt;"No",N(INDEX('Intervals'!$C$4:$C$33,MATCH($B278,'Intervals'!$A$4:$A$33,0)))&gt;0),$E278+N(INDEX('Intervals'!$C$4:$C$33,MATCH($B278,'Intervals'!$A$4:$A$33,0))),""),""))</f>
        <v/>
      </c>
      <c r="G278" s="20">
        <f>IF(OR($B278="",$D278=""),"",IFERROR(IF(AND(INDEX('Intervals'!$G$4:$G$33,MATCH($B278,'Intervals'!$A$4:$A$33,0))&lt;&gt;"No",N(INDEX('Intervals'!$D$4:$D$33,MATCH($B278,'Intervals'!$A$4:$A$33,0)))&gt;0),EDATE($D278,N(INDEX('Intervals'!$D$4:$D$33,MATCH($B278,'Intervals'!$A$4:$A$33,0)))),""),""))</f>
        <v/>
      </c>
      <c r="H278" s="19">
        <f>IF($A278="","",IFERROR(IF(N(INDEX('Cars'!$H$4:$H$103,MATCH($A278,'Cars'!$A$4:$A$103,0)))&gt;0,INDEX('Cars'!$H$4:$H$103,MATCH($A278,'Cars'!$A$4:$A$103,0)),""),""))</f>
        <v/>
      </c>
      <c r="I278" s="19">
        <f>IF(OR($F278="",$H278=""),"",$F278-$H278)</f>
        <v/>
      </c>
      <c r="J278" s="21">
        <f>IF($G278="","",$G278-TODAY())</f>
        <v/>
      </c>
      <c r="K278" s="21">
        <f>IF($I278="","",IFERROR(IF(N(INDEX('Cars'!$J$4:$J$103,MATCH($A278,'Cars'!$A$4:$A$103,0)))&gt;0,ROUND($I278/INDEX('Cars'!$J$4:$J$103,MATCH($A278,'Cars'!$A$4:$A$103,0))*30,0),""),""))</f>
        <v/>
      </c>
      <c r="L278" s="21">
        <f>IF(AND($J278="",$K278=""),"",MIN(IF($J278="",99999,$J278),IF($K278="",99999,$K278)))</f>
        <v/>
      </c>
      <c r="M278" s="16">
        <f>IF(AND($I278="",$J278=""),"",IF(OR(AND($I278&lt;&gt;"",N($I278)&lt;0),AND($J278&lt;&gt;"",N($J278)&lt;0)),"Overdue",IF(OR(AND($I278&lt;&gt;"",N($I278)&lt;=IFERROR(INDEX('Intervals'!$E$4:$E$33,MATCH($B278,'Intervals'!$A$4:$A$33,0)),500)),AND($J278&lt;&gt;"",N($J278)&lt;=IFERROR(INDEX('Intervals'!$F$4:$F$33,MATCH($B278,'Intervals'!$A$4:$A$33,0)),14))),"Due soon","OK")))</f>
        <v/>
      </c>
      <c r="N278" s="15" t="n"/>
      <c r="O278" s="22">
        <f>IF(OR($M278="",$M278="OK"),"",$L278+ROW()/100000)</f>
        <v/>
      </c>
    </row>
    <row r="279">
      <c r="A279" s="15" t="n"/>
      <c r="B279" s="15" t="n"/>
      <c r="C279" s="16">
        <f>IF($B279="","",IFERROR(INDEX('Intervals'!$B$4:$B$33,MATCH($B279,'Intervals'!$A$4:$A$33,0)),""))</f>
        <v/>
      </c>
      <c r="D279" s="17" t="n"/>
      <c r="E279" s="18" t="n"/>
      <c r="F279" s="19">
        <f>IF(OR($B279="",$E279=""),"",IFERROR(IF(AND(INDEX('Intervals'!$G$4:$G$33,MATCH($B279,'Intervals'!$A$4:$A$33,0))&lt;&gt;"No",N(INDEX('Intervals'!$C$4:$C$33,MATCH($B279,'Intervals'!$A$4:$A$33,0)))&gt;0),$E279+N(INDEX('Intervals'!$C$4:$C$33,MATCH($B279,'Intervals'!$A$4:$A$33,0))),""),""))</f>
        <v/>
      </c>
      <c r="G279" s="20">
        <f>IF(OR($B279="",$D279=""),"",IFERROR(IF(AND(INDEX('Intervals'!$G$4:$G$33,MATCH($B279,'Intervals'!$A$4:$A$33,0))&lt;&gt;"No",N(INDEX('Intervals'!$D$4:$D$33,MATCH($B279,'Intervals'!$A$4:$A$33,0)))&gt;0),EDATE($D279,N(INDEX('Intervals'!$D$4:$D$33,MATCH($B279,'Intervals'!$A$4:$A$33,0)))),""),""))</f>
        <v/>
      </c>
      <c r="H279" s="19">
        <f>IF($A279="","",IFERROR(IF(N(INDEX('Cars'!$H$4:$H$103,MATCH($A279,'Cars'!$A$4:$A$103,0)))&gt;0,INDEX('Cars'!$H$4:$H$103,MATCH($A279,'Cars'!$A$4:$A$103,0)),""),""))</f>
        <v/>
      </c>
      <c r="I279" s="19">
        <f>IF(OR($F279="",$H279=""),"",$F279-$H279)</f>
        <v/>
      </c>
      <c r="J279" s="21">
        <f>IF($G279="","",$G279-TODAY())</f>
        <v/>
      </c>
      <c r="K279" s="21">
        <f>IF($I279="","",IFERROR(IF(N(INDEX('Cars'!$J$4:$J$103,MATCH($A279,'Cars'!$A$4:$A$103,0)))&gt;0,ROUND($I279/INDEX('Cars'!$J$4:$J$103,MATCH($A279,'Cars'!$A$4:$A$103,0))*30,0),""),""))</f>
        <v/>
      </c>
      <c r="L279" s="21">
        <f>IF(AND($J279="",$K279=""),"",MIN(IF($J279="",99999,$J279),IF($K279="",99999,$K279)))</f>
        <v/>
      </c>
      <c r="M279" s="16">
        <f>IF(AND($I279="",$J279=""),"",IF(OR(AND($I279&lt;&gt;"",N($I279)&lt;0),AND($J279&lt;&gt;"",N($J279)&lt;0)),"Overdue",IF(OR(AND($I279&lt;&gt;"",N($I279)&lt;=IFERROR(INDEX('Intervals'!$E$4:$E$33,MATCH($B279,'Intervals'!$A$4:$A$33,0)),500)),AND($J279&lt;&gt;"",N($J279)&lt;=IFERROR(INDEX('Intervals'!$F$4:$F$33,MATCH($B279,'Intervals'!$A$4:$A$33,0)),14))),"Due soon","OK")))</f>
        <v/>
      </c>
      <c r="N279" s="15" t="n"/>
      <c r="O279" s="22">
        <f>IF(OR($M279="",$M279="OK"),"",$L279+ROW()/100000)</f>
        <v/>
      </c>
    </row>
    <row r="280">
      <c r="A280" s="15" t="n"/>
      <c r="B280" s="15" t="n"/>
      <c r="C280" s="16">
        <f>IF($B280="","",IFERROR(INDEX('Intervals'!$B$4:$B$33,MATCH($B280,'Intervals'!$A$4:$A$33,0)),""))</f>
        <v/>
      </c>
      <c r="D280" s="17" t="n"/>
      <c r="E280" s="18" t="n"/>
      <c r="F280" s="19">
        <f>IF(OR($B280="",$E280=""),"",IFERROR(IF(AND(INDEX('Intervals'!$G$4:$G$33,MATCH($B280,'Intervals'!$A$4:$A$33,0))&lt;&gt;"No",N(INDEX('Intervals'!$C$4:$C$33,MATCH($B280,'Intervals'!$A$4:$A$33,0)))&gt;0),$E280+N(INDEX('Intervals'!$C$4:$C$33,MATCH($B280,'Intervals'!$A$4:$A$33,0))),""),""))</f>
        <v/>
      </c>
      <c r="G280" s="20">
        <f>IF(OR($B280="",$D280=""),"",IFERROR(IF(AND(INDEX('Intervals'!$G$4:$G$33,MATCH($B280,'Intervals'!$A$4:$A$33,0))&lt;&gt;"No",N(INDEX('Intervals'!$D$4:$D$33,MATCH($B280,'Intervals'!$A$4:$A$33,0)))&gt;0),EDATE($D280,N(INDEX('Intervals'!$D$4:$D$33,MATCH($B280,'Intervals'!$A$4:$A$33,0)))),""),""))</f>
        <v/>
      </c>
      <c r="H280" s="19">
        <f>IF($A280="","",IFERROR(IF(N(INDEX('Cars'!$H$4:$H$103,MATCH($A280,'Cars'!$A$4:$A$103,0)))&gt;0,INDEX('Cars'!$H$4:$H$103,MATCH($A280,'Cars'!$A$4:$A$103,0)),""),""))</f>
        <v/>
      </c>
      <c r="I280" s="19">
        <f>IF(OR($F280="",$H280=""),"",$F280-$H280)</f>
        <v/>
      </c>
      <c r="J280" s="21">
        <f>IF($G280="","",$G280-TODAY())</f>
        <v/>
      </c>
      <c r="K280" s="21">
        <f>IF($I280="","",IFERROR(IF(N(INDEX('Cars'!$J$4:$J$103,MATCH($A280,'Cars'!$A$4:$A$103,0)))&gt;0,ROUND($I280/INDEX('Cars'!$J$4:$J$103,MATCH($A280,'Cars'!$A$4:$A$103,0))*30,0),""),""))</f>
        <v/>
      </c>
      <c r="L280" s="21">
        <f>IF(AND($J280="",$K280=""),"",MIN(IF($J280="",99999,$J280),IF($K280="",99999,$K280)))</f>
        <v/>
      </c>
      <c r="M280" s="16">
        <f>IF(AND($I280="",$J280=""),"",IF(OR(AND($I280&lt;&gt;"",N($I280)&lt;0),AND($J280&lt;&gt;"",N($J280)&lt;0)),"Overdue",IF(OR(AND($I280&lt;&gt;"",N($I280)&lt;=IFERROR(INDEX('Intervals'!$E$4:$E$33,MATCH($B280,'Intervals'!$A$4:$A$33,0)),500)),AND($J280&lt;&gt;"",N($J280)&lt;=IFERROR(INDEX('Intervals'!$F$4:$F$33,MATCH($B280,'Intervals'!$A$4:$A$33,0)),14))),"Due soon","OK")))</f>
        <v/>
      </c>
      <c r="N280" s="15" t="n"/>
      <c r="O280" s="22">
        <f>IF(OR($M280="",$M280="OK"),"",$L280+ROW()/100000)</f>
        <v/>
      </c>
    </row>
    <row r="281">
      <c r="A281" s="15" t="n"/>
      <c r="B281" s="15" t="n"/>
      <c r="C281" s="16">
        <f>IF($B281="","",IFERROR(INDEX('Intervals'!$B$4:$B$33,MATCH($B281,'Intervals'!$A$4:$A$33,0)),""))</f>
        <v/>
      </c>
      <c r="D281" s="17" t="n"/>
      <c r="E281" s="18" t="n"/>
      <c r="F281" s="19">
        <f>IF(OR($B281="",$E281=""),"",IFERROR(IF(AND(INDEX('Intervals'!$G$4:$G$33,MATCH($B281,'Intervals'!$A$4:$A$33,0))&lt;&gt;"No",N(INDEX('Intervals'!$C$4:$C$33,MATCH($B281,'Intervals'!$A$4:$A$33,0)))&gt;0),$E281+N(INDEX('Intervals'!$C$4:$C$33,MATCH($B281,'Intervals'!$A$4:$A$33,0))),""),""))</f>
        <v/>
      </c>
      <c r="G281" s="20">
        <f>IF(OR($B281="",$D281=""),"",IFERROR(IF(AND(INDEX('Intervals'!$G$4:$G$33,MATCH($B281,'Intervals'!$A$4:$A$33,0))&lt;&gt;"No",N(INDEX('Intervals'!$D$4:$D$33,MATCH($B281,'Intervals'!$A$4:$A$33,0)))&gt;0),EDATE($D281,N(INDEX('Intervals'!$D$4:$D$33,MATCH($B281,'Intervals'!$A$4:$A$33,0)))),""),""))</f>
        <v/>
      </c>
      <c r="H281" s="19">
        <f>IF($A281="","",IFERROR(IF(N(INDEX('Cars'!$H$4:$H$103,MATCH($A281,'Cars'!$A$4:$A$103,0)))&gt;0,INDEX('Cars'!$H$4:$H$103,MATCH($A281,'Cars'!$A$4:$A$103,0)),""),""))</f>
        <v/>
      </c>
      <c r="I281" s="19">
        <f>IF(OR($F281="",$H281=""),"",$F281-$H281)</f>
        <v/>
      </c>
      <c r="J281" s="21">
        <f>IF($G281="","",$G281-TODAY())</f>
        <v/>
      </c>
      <c r="K281" s="21">
        <f>IF($I281="","",IFERROR(IF(N(INDEX('Cars'!$J$4:$J$103,MATCH($A281,'Cars'!$A$4:$A$103,0)))&gt;0,ROUND($I281/INDEX('Cars'!$J$4:$J$103,MATCH($A281,'Cars'!$A$4:$A$103,0))*30,0),""),""))</f>
        <v/>
      </c>
      <c r="L281" s="21">
        <f>IF(AND($J281="",$K281=""),"",MIN(IF($J281="",99999,$J281),IF($K281="",99999,$K281)))</f>
        <v/>
      </c>
      <c r="M281" s="16">
        <f>IF(AND($I281="",$J281=""),"",IF(OR(AND($I281&lt;&gt;"",N($I281)&lt;0),AND($J281&lt;&gt;"",N($J281)&lt;0)),"Overdue",IF(OR(AND($I281&lt;&gt;"",N($I281)&lt;=IFERROR(INDEX('Intervals'!$E$4:$E$33,MATCH($B281,'Intervals'!$A$4:$A$33,0)),500)),AND($J281&lt;&gt;"",N($J281)&lt;=IFERROR(INDEX('Intervals'!$F$4:$F$33,MATCH($B281,'Intervals'!$A$4:$A$33,0)),14))),"Due soon","OK")))</f>
        <v/>
      </c>
      <c r="N281" s="15" t="n"/>
      <c r="O281" s="22">
        <f>IF(OR($M281="",$M281="OK"),"",$L281+ROW()/100000)</f>
        <v/>
      </c>
    </row>
    <row r="282">
      <c r="A282" s="15" t="n"/>
      <c r="B282" s="15" t="n"/>
      <c r="C282" s="16">
        <f>IF($B282="","",IFERROR(INDEX('Intervals'!$B$4:$B$33,MATCH($B282,'Intervals'!$A$4:$A$33,0)),""))</f>
        <v/>
      </c>
      <c r="D282" s="17" t="n"/>
      <c r="E282" s="18" t="n"/>
      <c r="F282" s="19">
        <f>IF(OR($B282="",$E282=""),"",IFERROR(IF(AND(INDEX('Intervals'!$G$4:$G$33,MATCH($B282,'Intervals'!$A$4:$A$33,0))&lt;&gt;"No",N(INDEX('Intervals'!$C$4:$C$33,MATCH($B282,'Intervals'!$A$4:$A$33,0)))&gt;0),$E282+N(INDEX('Intervals'!$C$4:$C$33,MATCH($B282,'Intervals'!$A$4:$A$33,0))),""),""))</f>
        <v/>
      </c>
      <c r="G282" s="20">
        <f>IF(OR($B282="",$D282=""),"",IFERROR(IF(AND(INDEX('Intervals'!$G$4:$G$33,MATCH($B282,'Intervals'!$A$4:$A$33,0))&lt;&gt;"No",N(INDEX('Intervals'!$D$4:$D$33,MATCH($B282,'Intervals'!$A$4:$A$33,0)))&gt;0),EDATE($D282,N(INDEX('Intervals'!$D$4:$D$33,MATCH($B282,'Intervals'!$A$4:$A$33,0)))),""),""))</f>
        <v/>
      </c>
      <c r="H282" s="19">
        <f>IF($A282="","",IFERROR(IF(N(INDEX('Cars'!$H$4:$H$103,MATCH($A282,'Cars'!$A$4:$A$103,0)))&gt;0,INDEX('Cars'!$H$4:$H$103,MATCH($A282,'Cars'!$A$4:$A$103,0)),""),""))</f>
        <v/>
      </c>
      <c r="I282" s="19">
        <f>IF(OR($F282="",$H282=""),"",$F282-$H282)</f>
        <v/>
      </c>
      <c r="J282" s="21">
        <f>IF($G282="","",$G282-TODAY())</f>
        <v/>
      </c>
      <c r="K282" s="21">
        <f>IF($I282="","",IFERROR(IF(N(INDEX('Cars'!$J$4:$J$103,MATCH($A282,'Cars'!$A$4:$A$103,0)))&gt;0,ROUND($I282/INDEX('Cars'!$J$4:$J$103,MATCH($A282,'Cars'!$A$4:$A$103,0))*30,0),""),""))</f>
        <v/>
      </c>
      <c r="L282" s="21">
        <f>IF(AND($J282="",$K282=""),"",MIN(IF($J282="",99999,$J282),IF($K282="",99999,$K282)))</f>
        <v/>
      </c>
      <c r="M282" s="16">
        <f>IF(AND($I282="",$J282=""),"",IF(OR(AND($I282&lt;&gt;"",N($I282)&lt;0),AND($J282&lt;&gt;"",N($J282)&lt;0)),"Overdue",IF(OR(AND($I282&lt;&gt;"",N($I282)&lt;=IFERROR(INDEX('Intervals'!$E$4:$E$33,MATCH($B282,'Intervals'!$A$4:$A$33,0)),500)),AND($J282&lt;&gt;"",N($J282)&lt;=IFERROR(INDEX('Intervals'!$F$4:$F$33,MATCH($B282,'Intervals'!$A$4:$A$33,0)),14))),"Due soon","OK")))</f>
        <v/>
      </c>
      <c r="N282" s="15" t="n"/>
      <c r="O282" s="22">
        <f>IF(OR($M282="",$M282="OK"),"",$L282+ROW()/100000)</f>
        <v/>
      </c>
    </row>
    <row r="283">
      <c r="A283" s="15" t="n"/>
      <c r="B283" s="15" t="n"/>
      <c r="C283" s="16">
        <f>IF($B283="","",IFERROR(INDEX('Intervals'!$B$4:$B$33,MATCH($B283,'Intervals'!$A$4:$A$33,0)),""))</f>
        <v/>
      </c>
      <c r="D283" s="17" t="n"/>
      <c r="E283" s="18" t="n"/>
      <c r="F283" s="19">
        <f>IF(OR($B283="",$E283=""),"",IFERROR(IF(AND(INDEX('Intervals'!$G$4:$G$33,MATCH($B283,'Intervals'!$A$4:$A$33,0))&lt;&gt;"No",N(INDEX('Intervals'!$C$4:$C$33,MATCH($B283,'Intervals'!$A$4:$A$33,0)))&gt;0),$E283+N(INDEX('Intervals'!$C$4:$C$33,MATCH($B283,'Intervals'!$A$4:$A$33,0))),""),""))</f>
        <v/>
      </c>
      <c r="G283" s="20">
        <f>IF(OR($B283="",$D283=""),"",IFERROR(IF(AND(INDEX('Intervals'!$G$4:$G$33,MATCH($B283,'Intervals'!$A$4:$A$33,0))&lt;&gt;"No",N(INDEX('Intervals'!$D$4:$D$33,MATCH($B283,'Intervals'!$A$4:$A$33,0)))&gt;0),EDATE($D283,N(INDEX('Intervals'!$D$4:$D$33,MATCH($B283,'Intervals'!$A$4:$A$33,0)))),""),""))</f>
        <v/>
      </c>
      <c r="H283" s="19">
        <f>IF($A283="","",IFERROR(IF(N(INDEX('Cars'!$H$4:$H$103,MATCH($A283,'Cars'!$A$4:$A$103,0)))&gt;0,INDEX('Cars'!$H$4:$H$103,MATCH($A283,'Cars'!$A$4:$A$103,0)),""),""))</f>
        <v/>
      </c>
      <c r="I283" s="19">
        <f>IF(OR($F283="",$H283=""),"",$F283-$H283)</f>
        <v/>
      </c>
      <c r="J283" s="21">
        <f>IF($G283="","",$G283-TODAY())</f>
        <v/>
      </c>
      <c r="K283" s="21">
        <f>IF($I283="","",IFERROR(IF(N(INDEX('Cars'!$J$4:$J$103,MATCH($A283,'Cars'!$A$4:$A$103,0)))&gt;0,ROUND($I283/INDEX('Cars'!$J$4:$J$103,MATCH($A283,'Cars'!$A$4:$A$103,0))*30,0),""),""))</f>
        <v/>
      </c>
      <c r="L283" s="21">
        <f>IF(AND($J283="",$K283=""),"",MIN(IF($J283="",99999,$J283),IF($K283="",99999,$K283)))</f>
        <v/>
      </c>
      <c r="M283" s="16">
        <f>IF(AND($I283="",$J283=""),"",IF(OR(AND($I283&lt;&gt;"",N($I283)&lt;0),AND($J283&lt;&gt;"",N($J283)&lt;0)),"Overdue",IF(OR(AND($I283&lt;&gt;"",N($I283)&lt;=IFERROR(INDEX('Intervals'!$E$4:$E$33,MATCH($B283,'Intervals'!$A$4:$A$33,0)),500)),AND($J283&lt;&gt;"",N($J283)&lt;=IFERROR(INDEX('Intervals'!$F$4:$F$33,MATCH($B283,'Intervals'!$A$4:$A$33,0)),14))),"Due soon","OK")))</f>
        <v/>
      </c>
      <c r="N283" s="15" t="n"/>
      <c r="O283" s="22">
        <f>IF(OR($M283="",$M283="OK"),"",$L283+ROW()/100000)</f>
        <v/>
      </c>
    </row>
    <row r="284">
      <c r="A284" s="15" t="n"/>
      <c r="B284" s="15" t="n"/>
      <c r="C284" s="16">
        <f>IF($B284="","",IFERROR(INDEX('Intervals'!$B$4:$B$33,MATCH($B284,'Intervals'!$A$4:$A$33,0)),""))</f>
        <v/>
      </c>
      <c r="D284" s="17" t="n"/>
      <c r="E284" s="18" t="n"/>
      <c r="F284" s="19">
        <f>IF(OR($B284="",$E284=""),"",IFERROR(IF(AND(INDEX('Intervals'!$G$4:$G$33,MATCH($B284,'Intervals'!$A$4:$A$33,0))&lt;&gt;"No",N(INDEX('Intervals'!$C$4:$C$33,MATCH($B284,'Intervals'!$A$4:$A$33,0)))&gt;0),$E284+N(INDEX('Intervals'!$C$4:$C$33,MATCH($B284,'Intervals'!$A$4:$A$33,0))),""),""))</f>
        <v/>
      </c>
      <c r="G284" s="20">
        <f>IF(OR($B284="",$D284=""),"",IFERROR(IF(AND(INDEX('Intervals'!$G$4:$G$33,MATCH($B284,'Intervals'!$A$4:$A$33,0))&lt;&gt;"No",N(INDEX('Intervals'!$D$4:$D$33,MATCH($B284,'Intervals'!$A$4:$A$33,0)))&gt;0),EDATE($D284,N(INDEX('Intervals'!$D$4:$D$33,MATCH($B284,'Intervals'!$A$4:$A$33,0)))),""),""))</f>
        <v/>
      </c>
      <c r="H284" s="19">
        <f>IF($A284="","",IFERROR(IF(N(INDEX('Cars'!$H$4:$H$103,MATCH($A284,'Cars'!$A$4:$A$103,0)))&gt;0,INDEX('Cars'!$H$4:$H$103,MATCH($A284,'Cars'!$A$4:$A$103,0)),""),""))</f>
        <v/>
      </c>
      <c r="I284" s="19">
        <f>IF(OR($F284="",$H284=""),"",$F284-$H284)</f>
        <v/>
      </c>
      <c r="J284" s="21">
        <f>IF($G284="","",$G284-TODAY())</f>
        <v/>
      </c>
      <c r="K284" s="21">
        <f>IF($I284="","",IFERROR(IF(N(INDEX('Cars'!$J$4:$J$103,MATCH($A284,'Cars'!$A$4:$A$103,0)))&gt;0,ROUND($I284/INDEX('Cars'!$J$4:$J$103,MATCH($A284,'Cars'!$A$4:$A$103,0))*30,0),""),""))</f>
        <v/>
      </c>
      <c r="L284" s="21">
        <f>IF(AND($J284="",$K284=""),"",MIN(IF($J284="",99999,$J284),IF($K284="",99999,$K284)))</f>
        <v/>
      </c>
      <c r="M284" s="16">
        <f>IF(AND($I284="",$J284=""),"",IF(OR(AND($I284&lt;&gt;"",N($I284)&lt;0),AND($J284&lt;&gt;"",N($J284)&lt;0)),"Overdue",IF(OR(AND($I284&lt;&gt;"",N($I284)&lt;=IFERROR(INDEX('Intervals'!$E$4:$E$33,MATCH($B284,'Intervals'!$A$4:$A$33,0)),500)),AND($J284&lt;&gt;"",N($J284)&lt;=IFERROR(INDEX('Intervals'!$F$4:$F$33,MATCH($B284,'Intervals'!$A$4:$A$33,0)),14))),"Due soon","OK")))</f>
        <v/>
      </c>
      <c r="N284" s="15" t="n"/>
      <c r="O284" s="22">
        <f>IF(OR($M284="",$M284="OK"),"",$L284+ROW()/100000)</f>
        <v/>
      </c>
    </row>
    <row r="285">
      <c r="A285" s="15" t="n"/>
      <c r="B285" s="15" t="n"/>
      <c r="C285" s="16">
        <f>IF($B285="","",IFERROR(INDEX('Intervals'!$B$4:$B$33,MATCH($B285,'Intervals'!$A$4:$A$33,0)),""))</f>
        <v/>
      </c>
      <c r="D285" s="17" t="n"/>
      <c r="E285" s="18" t="n"/>
      <c r="F285" s="19">
        <f>IF(OR($B285="",$E285=""),"",IFERROR(IF(AND(INDEX('Intervals'!$G$4:$G$33,MATCH($B285,'Intervals'!$A$4:$A$33,0))&lt;&gt;"No",N(INDEX('Intervals'!$C$4:$C$33,MATCH($B285,'Intervals'!$A$4:$A$33,0)))&gt;0),$E285+N(INDEX('Intervals'!$C$4:$C$33,MATCH($B285,'Intervals'!$A$4:$A$33,0))),""),""))</f>
        <v/>
      </c>
      <c r="G285" s="20">
        <f>IF(OR($B285="",$D285=""),"",IFERROR(IF(AND(INDEX('Intervals'!$G$4:$G$33,MATCH($B285,'Intervals'!$A$4:$A$33,0))&lt;&gt;"No",N(INDEX('Intervals'!$D$4:$D$33,MATCH($B285,'Intervals'!$A$4:$A$33,0)))&gt;0),EDATE($D285,N(INDEX('Intervals'!$D$4:$D$33,MATCH($B285,'Intervals'!$A$4:$A$33,0)))),""),""))</f>
        <v/>
      </c>
      <c r="H285" s="19">
        <f>IF($A285="","",IFERROR(IF(N(INDEX('Cars'!$H$4:$H$103,MATCH($A285,'Cars'!$A$4:$A$103,0)))&gt;0,INDEX('Cars'!$H$4:$H$103,MATCH($A285,'Cars'!$A$4:$A$103,0)),""),""))</f>
        <v/>
      </c>
      <c r="I285" s="19">
        <f>IF(OR($F285="",$H285=""),"",$F285-$H285)</f>
        <v/>
      </c>
      <c r="J285" s="21">
        <f>IF($G285="","",$G285-TODAY())</f>
        <v/>
      </c>
      <c r="K285" s="21">
        <f>IF($I285="","",IFERROR(IF(N(INDEX('Cars'!$J$4:$J$103,MATCH($A285,'Cars'!$A$4:$A$103,0)))&gt;0,ROUND($I285/INDEX('Cars'!$J$4:$J$103,MATCH($A285,'Cars'!$A$4:$A$103,0))*30,0),""),""))</f>
        <v/>
      </c>
      <c r="L285" s="21">
        <f>IF(AND($J285="",$K285=""),"",MIN(IF($J285="",99999,$J285),IF($K285="",99999,$K285)))</f>
        <v/>
      </c>
      <c r="M285" s="16">
        <f>IF(AND($I285="",$J285=""),"",IF(OR(AND($I285&lt;&gt;"",N($I285)&lt;0),AND($J285&lt;&gt;"",N($J285)&lt;0)),"Overdue",IF(OR(AND($I285&lt;&gt;"",N($I285)&lt;=IFERROR(INDEX('Intervals'!$E$4:$E$33,MATCH($B285,'Intervals'!$A$4:$A$33,0)),500)),AND($J285&lt;&gt;"",N($J285)&lt;=IFERROR(INDEX('Intervals'!$F$4:$F$33,MATCH($B285,'Intervals'!$A$4:$A$33,0)),14))),"Due soon","OK")))</f>
        <v/>
      </c>
      <c r="N285" s="15" t="n"/>
      <c r="O285" s="22">
        <f>IF(OR($M285="",$M285="OK"),"",$L285+ROW()/100000)</f>
        <v/>
      </c>
    </row>
    <row r="286">
      <c r="A286" s="15" t="n"/>
      <c r="B286" s="15" t="n"/>
      <c r="C286" s="16">
        <f>IF($B286="","",IFERROR(INDEX('Intervals'!$B$4:$B$33,MATCH($B286,'Intervals'!$A$4:$A$33,0)),""))</f>
        <v/>
      </c>
      <c r="D286" s="17" t="n"/>
      <c r="E286" s="18" t="n"/>
      <c r="F286" s="19">
        <f>IF(OR($B286="",$E286=""),"",IFERROR(IF(AND(INDEX('Intervals'!$G$4:$G$33,MATCH($B286,'Intervals'!$A$4:$A$33,0))&lt;&gt;"No",N(INDEX('Intervals'!$C$4:$C$33,MATCH($B286,'Intervals'!$A$4:$A$33,0)))&gt;0),$E286+N(INDEX('Intervals'!$C$4:$C$33,MATCH($B286,'Intervals'!$A$4:$A$33,0))),""),""))</f>
        <v/>
      </c>
      <c r="G286" s="20">
        <f>IF(OR($B286="",$D286=""),"",IFERROR(IF(AND(INDEX('Intervals'!$G$4:$G$33,MATCH($B286,'Intervals'!$A$4:$A$33,0))&lt;&gt;"No",N(INDEX('Intervals'!$D$4:$D$33,MATCH($B286,'Intervals'!$A$4:$A$33,0)))&gt;0),EDATE($D286,N(INDEX('Intervals'!$D$4:$D$33,MATCH($B286,'Intervals'!$A$4:$A$33,0)))),""),""))</f>
        <v/>
      </c>
      <c r="H286" s="19">
        <f>IF($A286="","",IFERROR(IF(N(INDEX('Cars'!$H$4:$H$103,MATCH($A286,'Cars'!$A$4:$A$103,0)))&gt;0,INDEX('Cars'!$H$4:$H$103,MATCH($A286,'Cars'!$A$4:$A$103,0)),""),""))</f>
        <v/>
      </c>
      <c r="I286" s="19">
        <f>IF(OR($F286="",$H286=""),"",$F286-$H286)</f>
        <v/>
      </c>
      <c r="J286" s="21">
        <f>IF($G286="","",$G286-TODAY())</f>
        <v/>
      </c>
      <c r="K286" s="21">
        <f>IF($I286="","",IFERROR(IF(N(INDEX('Cars'!$J$4:$J$103,MATCH($A286,'Cars'!$A$4:$A$103,0)))&gt;0,ROUND($I286/INDEX('Cars'!$J$4:$J$103,MATCH($A286,'Cars'!$A$4:$A$103,0))*30,0),""),""))</f>
        <v/>
      </c>
      <c r="L286" s="21">
        <f>IF(AND($J286="",$K286=""),"",MIN(IF($J286="",99999,$J286),IF($K286="",99999,$K286)))</f>
        <v/>
      </c>
      <c r="M286" s="16">
        <f>IF(AND($I286="",$J286=""),"",IF(OR(AND($I286&lt;&gt;"",N($I286)&lt;0),AND($J286&lt;&gt;"",N($J286)&lt;0)),"Overdue",IF(OR(AND($I286&lt;&gt;"",N($I286)&lt;=IFERROR(INDEX('Intervals'!$E$4:$E$33,MATCH($B286,'Intervals'!$A$4:$A$33,0)),500)),AND($J286&lt;&gt;"",N($J286)&lt;=IFERROR(INDEX('Intervals'!$F$4:$F$33,MATCH($B286,'Intervals'!$A$4:$A$33,0)),14))),"Due soon","OK")))</f>
        <v/>
      </c>
      <c r="N286" s="15" t="n"/>
      <c r="O286" s="22">
        <f>IF(OR($M286="",$M286="OK"),"",$L286+ROW()/100000)</f>
        <v/>
      </c>
    </row>
    <row r="287">
      <c r="A287" s="15" t="n"/>
      <c r="B287" s="15" t="n"/>
      <c r="C287" s="16">
        <f>IF($B287="","",IFERROR(INDEX('Intervals'!$B$4:$B$33,MATCH($B287,'Intervals'!$A$4:$A$33,0)),""))</f>
        <v/>
      </c>
      <c r="D287" s="17" t="n"/>
      <c r="E287" s="18" t="n"/>
      <c r="F287" s="19">
        <f>IF(OR($B287="",$E287=""),"",IFERROR(IF(AND(INDEX('Intervals'!$G$4:$G$33,MATCH($B287,'Intervals'!$A$4:$A$33,0))&lt;&gt;"No",N(INDEX('Intervals'!$C$4:$C$33,MATCH($B287,'Intervals'!$A$4:$A$33,0)))&gt;0),$E287+N(INDEX('Intervals'!$C$4:$C$33,MATCH($B287,'Intervals'!$A$4:$A$33,0))),""),""))</f>
        <v/>
      </c>
      <c r="G287" s="20">
        <f>IF(OR($B287="",$D287=""),"",IFERROR(IF(AND(INDEX('Intervals'!$G$4:$G$33,MATCH($B287,'Intervals'!$A$4:$A$33,0))&lt;&gt;"No",N(INDEX('Intervals'!$D$4:$D$33,MATCH($B287,'Intervals'!$A$4:$A$33,0)))&gt;0),EDATE($D287,N(INDEX('Intervals'!$D$4:$D$33,MATCH($B287,'Intervals'!$A$4:$A$33,0)))),""),""))</f>
        <v/>
      </c>
      <c r="H287" s="19">
        <f>IF($A287="","",IFERROR(IF(N(INDEX('Cars'!$H$4:$H$103,MATCH($A287,'Cars'!$A$4:$A$103,0)))&gt;0,INDEX('Cars'!$H$4:$H$103,MATCH($A287,'Cars'!$A$4:$A$103,0)),""),""))</f>
        <v/>
      </c>
      <c r="I287" s="19">
        <f>IF(OR($F287="",$H287=""),"",$F287-$H287)</f>
        <v/>
      </c>
      <c r="J287" s="21">
        <f>IF($G287="","",$G287-TODAY())</f>
        <v/>
      </c>
      <c r="K287" s="21">
        <f>IF($I287="","",IFERROR(IF(N(INDEX('Cars'!$J$4:$J$103,MATCH($A287,'Cars'!$A$4:$A$103,0)))&gt;0,ROUND($I287/INDEX('Cars'!$J$4:$J$103,MATCH($A287,'Cars'!$A$4:$A$103,0))*30,0),""),""))</f>
        <v/>
      </c>
      <c r="L287" s="21">
        <f>IF(AND($J287="",$K287=""),"",MIN(IF($J287="",99999,$J287),IF($K287="",99999,$K287)))</f>
        <v/>
      </c>
      <c r="M287" s="16">
        <f>IF(AND($I287="",$J287=""),"",IF(OR(AND($I287&lt;&gt;"",N($I287)&lt;0),AND($J287&lt;&gt;"",N($J287)&lt;0)),"Overdue",IF(OR(AND($I287&lt;&gt;"",N($I287)&lt;=IFERROR(INDEX('Intervals'!$E$4:$E$33,MATCH($B287,'Intervals'!$A$4:$A$33,0)),500)),AND($J287&lt;&gt;"",N($J287)&lt;=IFERROR(INDEX('Intervals'!$F$4:$F$33,MATCH($B287,'Intervals'!$A$4:$A$33,0)),14))),"Due soon","OK")))</f>
        <v/>
      </c>
      <c r="N287" s="15" t="n"/>
      <c r="O287" s="22">
        <f>IF(OR($M287="",$M287="OK"),"",$L287+ROW()/100000)</f>
        <v/>
      </c>
    </row>
    <row r="288">
      <c r="A288" s="15" t="n"/>
      <c r="B288" s="15" t="n"/>
      <c r="C288" s="16">
        <f>IF($B288="","",IFERROR(INDEX('Intervals'!$B$4:$B$33,MATCH($B288,'Intervals'!$A$4:$A$33,0)),""))</f>
        <v/>
      </c>
      <c r="D288" s="17" t="n"/>
      <c r="E288" s="18" t="n"/>
      <c r="F288" s="19">
        <f>IF(OR($B288="",$E288=""),"",IFERROR(IF(AND(INDEX('Intervals'!$G$4:$G$33,MATCH($B288,'Intervals'!$A$4:$A$33,0))&lt;&gt;"No",N(INDEX('Intervals'!$C$4:$C$33,MATCH($B288,'Intervals'!$A$4:$A$33,0)))&gt;0),$E288+N(INDEX('Intervals'!$C$4:$C$33,MATCH($B288,'Intervals'!$A$4:$A$33,0))),""),""))</f>
        <v/>
      </c>
      <c r="G288" s="20">
        <f>IF(OR($B288="",$D288=""),"",IFERROR(IF(AND(INDEX('Intervals'!$G$4:$G$33,MATCH($B288,'Intervals'!$A$4:$A$33,0))&lt;&gt;"No",N(INDEX('Intervals'!$D$4:$D$33,MATCH($B288,'Intervals'!$A$4:$A$33,0)))&gt;0),EDATE($D288,N(INDEX('Intervals'!$D$4:$D$33,MATCH($B288,'Intervals'!$A$4:$A$33,0)))),""),""))</f>
        <v/>
      </c>
      <c r="H288" s="19">
        <f>IF($A288="","",IFERROR(IF(N(INDEX('Cars'!$H$4:$H$103,MATCH($A288,'Cars'!$A$4:$A$103,0)))&gt;0,INDEX('Cars'!$H$4:$H$103,MATCH($A288,'Cars'!$A$4:$A$103,0)),""),""))</f>
        <v/>
      </c>
      <c r="I288" s="19">
        <f>IF(OR($F288="",$H288=""),"",$F288-$H288)</f>
        <v/>
      </c>
      <c r="J288" s="21">
        <f>IF($G288="","",$G288-TODAY())</f>
        <v/>
      </c>
      <c r="K288" s="21">
        <f>IF($I288="","",IFERROR(IF(N(INDEX('Cars'!$J$4:$J$103,MATCH($A288,'Cars'!$A$4:$A$103,0)))&gt;0,ROUND($I288/INDEX('Cars'!$J$4:$J$103,MATCH($A288,'Cars'!$A$4:$A$103,0))*30,0),""),""))</f>
        <v/>
      </c>
      <c r="L288" s="21">
        <f>IF(AND($J288="",$K288=""),"",MIN(IF($J288="",99999,$J288),IF($K288="",99999,$K288)))</f>
        <v/>
      </c>
      <c r="M288" s="16">
        <f>IF(AND($I288="",$J288=""),"",IF(OR(AND($I288&lt;&gt;"",N($I288)&lt;0),AND($J288&lt;&gt;"",N($J288)&lt;0)),"Overdue",IF(OR(AND($I288&lt;&gt;"",N($I288)&lt;=IFERROR(INDEX('Intervals'!$E$4:$E$33,MATCH($B288,'Intervals'!$A$4:$A$33,0)),500)),AND($J288&lt;&gt;"",N($J288)&lt;=IFERROR(INDEX('Intervals'!$F$4:$F$33,MATCH($B288,'Intervals'!$A$4:$A$33,0)),14))),"Due soon","OK")))</f>
        <v/>
      </c>
      <c r="N288" s="15" t="n"/>
      <c r="O288" s="22">
        <f>IF(OR($M288="",$M288="OK"),"",$L288+ROW()/100000)</f>
        <v/>
      </c>
    </row>
    <row r="289">
      <c r="A289" s="15" t="n"/>
      <c r="B289" s="15" t="n"/>
      <c r="C289" s="16">
        <f>IF($B289="","",IFERROR(INDEX('Intervals'!$B$4:$B$33,MATCH($B289,'Intervals'!$A$4:$A$33,0)),""))</f>
        <v/>
      </c>
      <c r="D289" s="17" t="n"/>
      <c r="E289" s="18" t="n"/>
      <c r="F289" s="19">
        <f>IF(OR($B289="",$E289=""),"",IFERROR(IF(AND(INDEX('Intervals'!$G$4:$G$33,MATCH($B289,'Intervals'!$A$4:$A$33,0))&lt;&gt;"No",N(INDEX('Intervals'!$C$4:$C$33,MATCH($B289,'Intervals'!$A$4:$A$33,0)))&gt;0),$E289+N(INDEX('Intervals'!$C$4:$C$33,MATCH($B289,'Intervals'!$A$4:$A$33,0))),""),""))</f>
        <v/>
      </c>
      <c r="G289" s="20">
        <f>IF(OR($B289="",$D289=""),"",IFERROR(IF(AND(INDEX('Intervals'!$G$4:$G$33,MATCH($B289,'Intervals'!$A$4:$A$33,0))&lt;&gt;"No",N(INDEX('Intervals'!$D$4:$D$33,MATCH($B289,'Intervals'!$A$4:$A$33,0)))&gt;0),EDATE($D289,N(INDEX('Intervals'!$D$4:$D$33,MATCH($B289,'Intervals'!$A$4:$A$33,0)))),""),""))</f>
        <v/>
      </c>
      <c r="H289" s="19">
        <f>IF($A289="","",IFERROR(IF(N(INDEX('Cars'!$H$4:$H$103,MATCH($A289,'Cars'!$A$4:$A$103,0)))&gt;0,INDEX('Cars'!$H$4:$H$103,MATCH($A289,'Cars'!$A$4:$A$103,0)),""),""))</f>
        <v/>
      </c>
      <c r="I289" s="19">
        <f>IF(OR($F289="",$H289=""),"",$F289-$H289)</f>
        <v/>
      </c>
      <c r="J289" s="21">
        <f>IF($G289="","",$G289-TODAY())</f>
        <v/>
      </c>
      <c r="K289" s="21">
        <f>IF($I289="","",IFERROR(IF(N(INDEX('Cars'!$J$4:$J$103,MATCH($A289,'Cars'!$A$4:$A$103,0)))&gt;0,ROUND($I289/INDEX('Cars'!$J$4:$J$103,MATCH($A289,'Cars'!$A$4:$A$103,0))*30,0),""),""))</f>
        <v/>
      </c>
      <c r="L289" s="21">
        <f>IF(AND($J289="",$K289=""),"",MIN(IF($J289="",99999,$J289),IF($K289="",99999,$K289)))</f>
        <v/>
      </c>
      <c r="M289" s="16">
        <f>IF(AND($I289="",$J289=""),"",IF(OR(AND($I289&lt;&gt;"",N($I289)&lt;0),AND($J289&lt;&gt;"",N($J289)&lt;0)),"Overdue",IF(OR(AND($I289&lt;&gt;"",N($I289)&lt;=IFERROR(INDEX('Intervals'!$E$4:$E$33,MATCH($B289,'Intervals'!$A$4:$A$33,0)),500)),AND($J289&lt;&gt;"",N($J289)&lt;=IFERROR(INDEX('Intervals'!$F$4:$F$33,MATCH($B289,'Intervals'!$A$4:$A$33,0)),14))),"Due soon","OK")))</f>
        <v/>
      </c>
      <c r="N289" s="15" t="n"/>
      <c r="O289" s="22">
        <f>IF(OR($M289="",$M289="OK"),"",$L289+ROW()/100000)</f>
        <v/>
      </c>
    </row>
    <row r="290">
      <c r="A290" s="15" t="n"/>
      <c r="B290" s="15" t="n"/>
      <c r="C290" s="16">
        <f>IF($B290="","",IFERROR(INDEX('Intervals'!$B$4:$B$33,MATCH($B290,'Intervals'!$A$4:$A$33,0)),""))</f>
        <v/>
      </c>
      <c r="D290" s="17" t="n"/>
      <c r="E290" s="18" t="n"/>
      <c r="F290" s="19">
        <f>IF(OR($B290="",$E290=""),"",IFERROR(IF(AND(INDEX('Intervals'!$G$4:$G$33,MATCH($B290,'Intervals'!$A$4:$A$33,0))&lt;&gt;"No",N(INDEX('Intervals'!$C$4:$C$33,MATCH($B290,'Intervals'!$A$4:$A$33,0)))&gt;0),$E290+N(INDEX('Intervals'!$C$4:$C$33,MATCH($B290,'Intervals'!$A$4:$A$33,0))),""),""))</f>
        <v/>
      </c>
      <c r="G290" s="20">
        <f>IF(OR($B290="",$D290=""),"",IFERROR(IF(AND(INDEX('Intervals'!$G$4:$G$33,MATCH($B290,'Intervals'!$A$4:$A$33,0))&lt;&gt;"No",N(INDEX('Intervals'!$D$4:$D$33,MATCH($B290,'Intervals'!$A$4:$A$33,0)))&gt;0),EDATE($D290,N(INDEX('Intervals'!$D$4:$D$33,MATCH($B290,'Intervals'!$A$4:$A$33,0)))),""),""))</f>
        <v/>
      </c>
      <c r="H290" s="19">
        <f>IF($A290="","",IFERROR(IF(N(INDEX('Cars'!$H$4:$H$103,MATCH($A290,'Cars'!$A$4:$A$103,0)))&gt;0,INDEX('Cars'!$H$4:$H$103,MATCH($A290,'Cars'!$A$4:$A$103,0)),""),""))</f>
        <v/>
      </c>
      <c r="I290" s="19">
        <f>IF(OR($F290="",$H290=""),"",$F290-$H290)</f>
        <v/>
      </c>
      <c r="J290" s="21">
        <f>IF($G290="","",$G290-TODAY())</f>
        <v/>
      </c>
      <c r="K290" s="21">
        <f>IF($I290="","",IFERROR(IF(N(INDEX('Cars'!$J$4:$J$103,MATCH($A290,'Cars'!$A$4:$A$103,0)))&gt;0,ROUND($I290/INDEX('Cars'!$J$4:$J$103,MATCH($A290,'Cars'!$A$4:$A$103,0))*30,0),""),""))</f>
        <v/>
      </c>
      <c r="L290" s="21">
        <f>IF(AND($J290="",$K290=""),"",MIN(IF($J290="",99999,$J290),IF($K290="",99999,$K290)))</f>
        <v/>
      </c>
      <c r="M290" s="16">
        <f>IF(AND($I290="",$J290=""),"",IF(OR(AND($I290&lt;&gt;"",N($I290)&lt;0),AND($J290&lt;&gt;"",N($J290)&lt;0)),"Overdue",IF(OR(AND($I290&lt;&gt;"",N($I290)&lt;=IFERROR(INDEX('Intervals'!$E$4:$E$33,MATCH($B290,'Intervals'!$A$4:$A$33,0)),500)),AND($J290&lt;&gt;"",N($J290)&lt;=IFERROR(INDEX('Intervals'!$F$4:$F$33,MATCH($B290,'Intervals'!$A$4:$A$33,0)),14))),"Due soon","OK")))</f>
        <v/>
      </c>
      <c r="N290" s="15" t="n"/>
      <c r="O290" s="22">
        <f>IF(OR($M290="",$M290="OK"),"",$L290+ROW()/100000)</f>
        <v/>
      </c>
    </row>
    <row r="291">
      <c r="A291" s="15" t="n"/>
      <c r="B291" s="15" t="n"/>
      <c r="C291" s="16">
        <f>IF($B291="","",IFERROR(INDEX('Intervals'!$B$4:$B$33,MATCH($B291,'Intervals'!$A$4:$A$33,0)),""))</f>
        <v/>
      </c>
      <c r="D291" s="17" t="n"/>
      <c r="E291" s="18" t="n"/>
      <c r="F291" s="19">
        <f>IF(OR($B291="",$E291=""),"",IFERROR(IF(AND(INDEX('Intervals'!$G$4:$G$33,MATCH($B291,'Intervals'!$A$4:$A$33,0))&lt;&gt;"No",N(INDEX('Intervals'!$C$4:$C$33,MATCH($B291,'Intervals'!$A$4:$A$33,0)))&gt;0),$E291+N(INDEX('Intervals'!$C$4:$C$33,MATCH($B291,'Intervals'!$A$4:$A$33,0))),""),""))</f>
        <v/>
      </c>
      <c r="G291" s="20">
        <f>IF(OR($B291="",$D291=""),"",IFERROR(IF(AND(INDEX('Intervals'!$G$4:$G$33,MATCH($B291,'Intervals'!$A$4:$A$33,0))&lt;&gt;"No",N(INDEX('Intervals'!$D$4:$D$33,MATCH($B291,'Intervals'!$A$4:$A$33,0)))&gt;0),EDATE($D291,N(INDEX('Intervals'!$D$4:$D$33,MATCH($B291,'Intervals'!$A$4:$A$33,0)))),""),""))</f>
        <v/>
      </c>
      <c r="H291" s="19">
        <f>IF($A291="","",IFERROR(IF(N(INDEX('Cars'!$H$4:$H$103,MATCH($A291,'Cars'!$A$4:$A$103,0)))&gt;0,INDEX('Cars'!$H$4:$H$103,MATCH($A291,'Cars'!$A$4:$A$103,0)),""),""))</f>
        <v/>
      </c>
      <c r="I291" s="19">
        <f>IF(OR($F291="",$H291=""),"",$F291-$H291)</f>
        <v/>
      </c>
      <c r="J291" s="21">
        <f>IF($G291="","",$G291-TODAY())</f>
        <v/>
      </c>
      <c r="K291" s="21">
        <f>IF($I291="","",IFERROR(IF(N(INDEX('Cars'!$J$4:$J$103,MATCH($A291,'Cars'!$A$4:$A$103,0)))&gt;0,ROUND($I291/INDEX('Cars'!$J$4:$J$103,MATCH($A291,'Cars'!$A$4:$A$103,0))*30,0),""),""))</f>
        <v/>
      </c>
      <c r="L291" s="21">
        <f>IF(AND($J291="",$K291=""),"",MIN(IF($J291="",99999,$J291),IF($K291="",99999,$K291)))</f>
        <v/>
      </c>
      <c r="M291" s="16">
        <f>IF(AND($I291="",$J291=""),"",IF(OR(AND($I291&lt;&gt;"",N($I291)&lt;0),AND($J291&lt;&gt;"",N($J291)&lt;0)),"Overdue",IF(OR(AND($I291&lt;&gt;"",N($I291)&lt;=IFERROR(INDEX('Intervals'!$E$4:$E$33,MATCH($B291,'Intervals'!$A$4:$A$33,0)),500)),AND($J291&lt;&gt;"",N($J291)&lt;=IFERROR(INDEX('Intervals'!$F$4:$F$33,MATCH($B291,'Intervals'!$A$4:$A$33,0)),14))),"Due soon","OK")))</f>
        <v/>
      </c>
      <c r="N291" s="15" t="n"/>
      <c r="O291" s="22">
        <f>IF(OR($M291="",$M291="OK"),"",$L291+ROW()/100000)</f>
        <v/>
      </c>
    </row>
    <row r="292">
      <c r="A292" s="15" t="n"/>
      <c r="B292" s="15" t="n"/>
      <c r="C292" s="16">
        <f>IF($B292="","",IFERROR(INDEX('Intervals'!$B$4:$B$33,MATCH($B292,'Intervals'!$A$4:$A$33,0)),""))</f>
        <v/>
      </c>
      <c r="D292" s="17" t="n"/>
      <c r="E292" s="18" t="n"/>
      <c r="F292" s="19">
        <f>IF(OR($B292="",$E292=""),"",IFERROR(IF(AND(INDEX('Intervals'!$G$4:$G$33,MATCH($B292,'Intervals'!$A$4:$A$33,0))&lt;&gt;"No",N(INDEX('Intervals'!$C$4:$C$33,MATCH($B292,'Intervals'!$A$4:$A$33,0)))&gt;0),$E292+N(INDEX('Intervals'!$C$4:$C$33,MATCH($B292,'Intervals'!$A$4:$A$33,0))),""),""))</f>
        <v/>
      </c>
      <c r="G292" s="20">
        <f>IF(OR($B292="",$D292=""),"",IFERROR(IF(AND(INDEX('Intervals'!$G$4:$G$33,MATCH($B292,'Intervals'!$A$4:$A$33,0))&lt;&gt;"No",N(INDEX('Intervals'!$D$4:$D$33,MATCH($B292,'Intervals'!$A$4:$A$33,0)))&gt;0),EDATE($D292,N(INDEX('Intervals'!$D$4:$D$33,MATCH($B292,'Intervals'!$A$4:$A$33,0)))),""),""))</f>
        <v/>
      </c>
      <c r="H292" s="19">
        <f>IF($A292="","",IFERROR(IF(N(INDEX('Cars'!$H$4:$H$103,MATCH($A292,'Cars'!$A$4:$A$103,0)))&gt;0,INDEX('Cars'!$H$4:$H$103,MATCH($A292,'Cars'!$A$4:$A$103,0)),""),""))</f>
        <v/>
      </c>
      <c r="I292" s="19">
        <f>IF(OR($F292="",$H292=""),"",$F292-$H292)</f>
        <v/>
      </c>
      <c r="J292" s="21">
        <f>IF($G292="","",$G292-TODAY())</f>
        <v/>
      </c>
      <c r="K292" s="21">
        <f>IF($I292="","",IFERROR(IF(N(INDEX('Cars'!$J$4:$J$103,MATCH($A292,'Cars'!$A$4:$A$103,0)))&gt;0,ROUND($I292/INDEX('Cars'!$J$4:$J$103,MATCH($A292,'Cars'!$A$4:$A$103,0))*30,0),""),""))</f>
        <v/>
      </c>
      <c r="L292" s="21">
        <f>IF(AND($J292="",$K292=""),"",MIN(IF($J292="",99999,$J292),IF($K292="",99999,$K292)))</f>
        <v/>
      </c>
      <c r="M292" s="16">
        <f>IF(AND($I292="",$J292=""),"",IF(OR(AND($I292&lt;&gt;"",N($I292)&lt;0),AND($J292&lt;&gt;"",N($J292)&lt;0)),"Overdue",IF(OR(AND($I292&lt;&gt;"",N($I292)&lt;=IFERROR(INDEX('Intervals'!$E$4:$E$33,MATCH($B292,'Intervals'!$A$4:$A$33,0)),500)),AND($J292&lt;&gt;"",N($J292)&lt;=IFERROR(INDEX('Intervals'!$F$4:$F$33,MATCH($B292,'Intervals'!$A$4:$A$33,0)),14))),"Due soon","OK")))</f>
        <v/>
      </c>
      <c r="N292" s="15" t="n"/>
      <c r="O292" s="22">
        <f>IF(OR($M292="",$M292="OK"),"",$L292+ROW()/100000)</f>
        <v/>
      </c>
    </row>
    <row r="293">
      <c r="A293" s="15" t="n"/>
      <c r="B293" s="15" t="n"/>
      <c r="C293" s="16">
        <f>IF($B293="","",IFERROR(INDEX('Intervals'!$B$4:$B$33,MATCH($B293,'Intervals'!$A$4:$A$33,0)),""))</f>
        <v/>
      </c>
      <c r="D293" s="17" t="n"/>
      <c r="E293" s="18" t="n"/>
      <c r="F293" s="19">
        <f>IF(OR($B293="",$E293=""),"",IFERROR(IF(AND(INDEX('Intervals'!$G$4:$G$33,MATCH($B293,'Intervals'!$A$4:$A$33,0))&lt;&gt;"No",N(INDEX('Intervals'!$C$4:$C$33,MATCH($B293,'Intervals'!$A$4:$A$33,0)))&gt;0),$E293+N(INDEX('Intervals'!$C$4:$C$33,MATCH($B293,'Intervals'!$A$4:$A$33,0))),""),""))</f>
        <v/>
      </c>
      <c r="G293" s="20">
        <f>IF(OR($B293="",$D293=""),"",IFERROR(IF(AND(INDEX('Intervals'!$G$4:$G$33,MATCH($B293,'Intervals'!$A$4:$A$33,0))&lt;&gt;"No",N(INDEX('Intervals'!$D$4:$D$33,MATCH($B293,'Intervals'!$A$4:$A$33,0)))&gt;0),EDATE($D293,N(INDEX('Intervals'!$D$4:$D$33,MATCH($B293,'Intervals'!$A$4:$A$33,0)))),""),""))</f>
        <v/>
      </c>
      <c r="H293" s="19">
        <f>IF($A293="","",IFERROR(IF(N(INDEX('Cars'!$H$4:$H$103,MATCH($A293,'Cars'!$A$4:$A$103,0)))&gt;0,INDEX('Cars'!$H$4:$H$103,MATCH($A293,'Cars'!$A$4:$A$103,0)),""),""))</f>
        <v/>
      </c>
      <c r="I293" s="19">
        <f>IF(OR($F293="",$H293=""),"",$F293-$H293)</f>
        <v/>
      </c>
      <c r="J293" s="21">
        <f>IF($G293="","",$G293-TODAY())</f>
        <v/>
      </c>
      <c r="K293" s="21">
        <f>IF($I293="","",IFERROR(IF(N(INDEX('Cars'!$J$4:$J$103,MATCH($A293,'Cars'!$A$4:$A$103,0)))&gt;0,ROUND($I293/INDEX('Cars'!$J$4:$J$103,MATCH($A293,'Cars'!$A$4:$A$103,0))*30,0),""),""))</f>
        <v/>
      </c>
      <c r="L293" s="21">
        <f>IF(AND($J293="",$K293=""),"",MIN(IF($J293="",99999,$J293),IF($K293="",99999,$K293)))</f>
        <v/>
      </c>
      <c r="M293" s="16">
        <f>IF(AND($I293="",$J293=""),"",IF(OR(AND($I293&lt;&gt;"",N($I293)&lt;0),AND($J293&lt;&gt;"",N($J293)&lt;0)),"Overdue",IF(OR(AND($I293&lt;&gt;"",N($I293)&lt;=IFERROR(INDEX('Intervals'!$E$4:$E$33,MATCH($B293,'Intervals'!$A$4:$A$33,0)),500)),AND($J293&lt;&gt;"",N($J293)&lt;=IFERROR(INDEX('Intervals'!$F$4:$F$33,MATCH($B293,'Intervals'!$A$4:$A$33,0)),14))),"Due soon","OK")))</f>
        <v/>
      </c>
      <c r="N293" s="15" t="n"/>
      <c r="O293" s="22">
        <f>IF(OR($M293="",$M293="OK"),"",$L293+ROW()/100000)</f>
        <v/>
      </c>
    </row>
    <row r="294">
      <c r="A294" s="15" t="n"/>
      <c r="B294" s="15" t="n"/>
      <c r="C294" s="16">
        <f>IF($B294="","",IFERROR(INDEX('Intervals'!$B$4:$B$33,MATCH($B294,'Intervals'!$A$4:$A$33,0)),""))</f>
        <v/>
      </c>
      <c r="D294" s="17" t="n"/>
      <c r="E294" s="18" t="n"/>
      <c r="F294" s="19">
        <f>IF(OR($B294="",$E294=""),"",IFERROR(IF(AND(INDEX('Intervals'!$G$4:$G$33,MATCH($B294,'Intervals'!$A$4:$A$33,0))&lt;&gt;"No",N(INDEX('Intervals'!$C$4:$C$33,MATCH($B294,'Intervals'!$A$4:$A$33,0)))&gt;0),$E294+N(INDEX('Intervals'!$C$4:$C$33,MATCH($B294,'Intervals'!$A$4:$A$33,0))),""),""))</f>
        <v/>
      </c>
      <c r="G294" s="20">
        <f>IF(OR($B294="",$D294=""),"",IFERROR(IF(AND(INDEX('Intervals'!$G$4:$G$33,MATCH($B294,'Intervals'!$A$4:$A$33,0))&lt;&gt;"No",N(INDEX('Intervals'!$D$4:$D$33,MATCH($B294,'Intervals'!$A$4:$A$33,0)))&gt;0),EDATE($D294,N(INDEX('Intervals'!$D$4:$D$33,MATCH($B294,'Intervals'!$A$4:$A$33,0)))),""),""))</f>
        <v/>
      </c>
      <c r="H294" s="19">
        <f>IF($A294="","",IFERROR(IF(N(INDEX('Cars'!$H$4:$H$103,MATCH($A294,'Cars'!$A$4:$A$103,0)))&gt;0,INDEX('Cars'!$H$4:$H$103,MATCH($A294,'Cars'!$A$4:$A$103,0)),""),""))</f>
        <v/>
      </c>
      <c r="I294" s="19">
        <f>IF(OR($F294="",$H294=""),"",$F294-$H294)</f>
        <v/>
      </c>
      <c r="J294" s="21">
        <f>IF($G294="","",$G294-TODAY())</f>
        <v/>
      </c>
      <c r="K294" s="21">
        <f>IF($I294="","",IFERROR(IF(N(INDEX('Cars'!$J$4:$J$103,MATCH($A294,'Cars'!$A$4:$A$103,0)))&gt;0,ROUND($I294/INDEX('Cars'!$J$4:$J$103,MATCH($A294,'Cars'!$A$4:$A$103,0))*30,0),""),""))</f>
        <v/>
      </c>
      <c r="L294" s="21">
        <f>IF(AND($J294="",$K294=""),"",MIN(IF($J294="",99999,$J294),IF($K294="",99999,$K294)))</f>
        <v/>
      </c>
      <c r="M294" s="16">
        <f>IF(AND($I294="",$J294=""),"",IF(OR(AND($I294&lt;&gt;"",N($I294)&lt;0),AND($J294&lt;&gt;"",N($J294)&lt;0)),"Overdue",IF(OR(AND($I294&lt;&gt;"",N($I294)&lt;=IFERROR(INDEX('Intervals'!$E$4:$E$33,MATCH($B294,'Intervals'!$A$4:$A$33,0)),500)),AND($J294&lt;&gt;"",N($J294)&lt;=IFERROR(INDEX('Intervals'!$F$4:$F$33,MATCH($B294,'Intervals'!$A$4:$A$33,0)),14))),"Due soon","OK")))</f>
        <v/>
      </c>
      <c r="N294" s="15" t="n"/>
      <c r="O294" s="22">
        <f>IF(OR($M294="",$M294="OK"),"",$L294+ROW()/100000)</f>
        <v/>
      </c>
    </row>
    <row r="295">
      <c r="A295" s="15" t="n"/>
      <c r="B295" s="15" t="n"/>
      <c r="C295" s="16">
        <f>IF($B295="","",IFERROR(INDEX('Intervals'!$B$4:$B$33,MATCH($B295,'Intervals'!$A$4:$A$33,0)),""))</f>
        <v/>
      </c>
      <c r="D295" s="17" t="n"/>
      <c r="E295" s="18" t="n"/>
      <c r="F295" s="19">
        <f>IF(OR($B295="",$E295=""),"",IFERROR(IF(AND(INDEX('Intervals'!$G$4:$G$33,MATCH($B295,'Intervals'!$A$4:$A$33,0))&lt;&gt;"No",N(INDEX('Intervals'!$C$4:$C$33,MATCH($B295,'Intervals'!$A$4:$A$33,0)))&gt;0),$E295+N(INDEX('Intervals'!$C$4:$C$33,MATCH($B295,'Intervals'!$A$4:$A$33,0))),""),""))</f>
        <v/>
      </c>
      <c r="G295" s="20">
        <f>IF(OR($B295="",$D295=""),"",IFERROR(IF(AND(INDEX('Intervals'!$G$4:$G$33,MATCH($B295,'Intervals'!$A$4:$A$33,0))&lt;&gt;"No",N(INDEX('Intervals'!$D$4:$D$33,MATCH($B295,'Intervals'!$A$4:$A$33,0)))&gt;0),EDATE($D295,N(INDEX('Intervals'!$D$4:$D$33,MATCH($B295,'Intervals'!$A$4:$A$33,0)))),""),""))</f>
        <v/>
      </c>
      <c r="H295" s="19">
        <f>IF($A295="","",IFERROR(IF(N(INDEX('Cars'!$H$4:$H$103,MATCH($A295,'Cars'!$A$4:$A$103,0)))&gt;0,INDEX('Cars'!$H$4:$H$103,MATCH($A295,'Cars'!$A$4:$A$103,0)),""),""))</f>
        <v/>
      </c>
      <c r="I295" s="19">
        <f>IF(OR($F295="",$H295=""),"",$F295-$H295)</f>
        <v/>
      </c>
      <c r="J295" s="21">
        <f>IF($G295="","",$G295-TODAY())</f>
        <v/>
      </c>
      <c r="K295" s="21">
        <f>IF($I295="","",IFERROR(IF(N(INDEX('Cars'!$J$4:$J$103,MATCH($A295,'Cars'!$A$4:$A$103,0)))&gt;0,ROUND($I295/INDEX('Cars'!$J$4:$J$103,MATCH($A295,'Cars'!$A$4:$A$103,0))*30,0),""),""))</f>
        <v/>
      </c>
      <c r="L295" s="21">
        <f>IF(AND($J295="",$K295=""),"",MIN(IF($J295="",99999,$J295),IF($K295="",99999,$K295)))</f>
        <v/>
      </c>
      <c r="M295" s="16">
        <f>IF(AND($I295="",$J295=""),"",IF(OR(AND($I295&lt;&gt;"",N($I295)&lt;0),AND($J295&lt;&gt;"",N($J295)&lt;0)),"Overdue",IF(OR(AND($I295&lt;&gt;"",N($I295)&lt;=IFERROR(INDEX('Intervals'!$E$4:$E$33,MATCH($B295,'Intervals'!$A$4:$A$33,0)),500)),AND($J295&lt;&gt;"",N($J295)&lt;=IFERROR(INDEX('Intervals'!$F$4:$F$33,MATCH($B295,'Intervals'!$A$4:$A$33,0)),14))),"Due soon","OK")))</f>
        <v/>
      </c>
      <c r="N295" s="15" t="n"/>
      <c r="O295" s="22">
        <f>IF(OR($M295="",$M295="OK"),"",$L295+ROW()/100000)</f>
        <v/>
      </c>
    </row>
    <row r="296">
      <c r="A296" s="15" t="n"/>
      <c r="B296" s="15" t="n"/>
      <c r="C296" s="16">
        <f>IF($B296="","",IFERROR(INDEX('Intervals'!$B$4:$B$33,MATCH($B296,'Intervals'!$A$4:$A$33,0)),""))</f>
        <v/>
      </c>
      <c r="D296" s="17" t="n"/>
      <c r="E296" s="18" t="n"/>
      <c r="F296" s="19">
        <f>IF(OR($B296="",$E296=""),"",IFERROR(IF(AND(INDEX('Intervals'!$G$4:$G$33,MATCH($B296,'Intervals'!$A$4:$A$33,0))&lt;&gt;"No",N(INDEX('Intervals'!$C$4:$C$33,MATCH($B296,'Intervals'!$A$4:$A$33,0)))&gt;0),$E296+N(INDEX('Intervals'!$C$4:$C$33,MATCH($B296,'Intervals'!$A$4:$A$33,0))),""),""))</f>
        <v/>
      </c>
      <c r="G296" s="20">
        <f>IF(OR($B296="",$D296=""),"",IFERROR(IF(AND(INDEX('Intervals'!$G$4:$G$33,MATCH($B296,'Intervals'!$A$4:$A$33,0))&lt;&gt;"No",N(INDEX('Intervals'!$D$4:$D$33,MATCH($B296,'Intervals'!$A$4:$A$33,0)))&gt;0),EDATE($D296,N(INDEX('Intervals'!$D$4:$D$33,MATCH($B296,'Intervals'!$A$4:$A$33,0)))),""),""))</f>
        <v/>
      </c>
      <c r="H296" s="19">
        <f>IF($A296="","",IFERROR(IF(N(INDEX('Cars'!$H$4:$H$103,MATCH($A296,'Cars'!$A$4:$A$103,0)))&gt;0,INDEX('Cars'!$H$4:$H$103,MATCH($A296,'Cars'!$A$4:$A$103,0)),""),""))</f>
        <v/>
      </c>
      <c r="I296" s="19">
        <f>IF(OR($F296="",$H296=""),"",$F296-$H296)</f>
        <v/>
      </c>
      <c r="J296" s="21">
        <f>IF($G296="","",$G296-TODAY())</f>
        <v/>
      </c>
      <c r="K296" s="21">
        <f>IF($I296="","",IFERROR(IF(N(INDEX('Cars'!$J$4:$J$103,MATCH($A296,'Cars'!$A$4:$A$103,0)))&gt;0,ROUND($I296/INDEX('Cars'!$J$4:$J$103,MATCH($A296,'Cars'!$A$4:$A$103,0))*30,0),""),""))</f>
        <v/>
      </c>
      <c r="L296" s="21">
        <f>IF(AND($J296="",$K296=""),"",MIN(IF($J296="",99999,$J296),IF($K296="",99999,$K296)))</f>
        <v/>
      </c>
      <c r="M296" s="16">
        <f>IF(AND($I296="",$J296=""),"",IF(OR(AND($I296&lt;&gt;"",N($I296)&lt;0),AND($J296&lt;&gt;"",N($J296)&lt;0)),"Overdue",IF(OR(AND($I296&lt;&gt;"",N($I296)&lt;=IFERROR(INDEX('Intervals'!$E$4:$E$33,MATCH($B296,'Intervals'!$A$4:$A$33,0)),500)),AND($J296&lt;&gt;"",N($J296)&lt;=IFERROR(INDEX('Intervals'!$F$4:$F$33,MATCH($B296,'Intervals'!$A$4:$A$33,0)),14))),"Due soon","OK")))</f>
        <v/>
      </c>
      <c r="N296" s="15" t="n"/>
      <c r="O296" s="22">
        <f>IF(OR($M296="",$M296="OK"),"",$L296+ROW()/100000)</f>
        <v/>
      </c>
    </row>
    <row r="297">
      <c r="A297" s="15" t="n"/>
      <c r="B297" s="15" t="n"/>
      <c r="C297" s="16">
        <f>IF($B297="","",IFERROR(INDEX('Intervals'!$B$4:$B$33,MATCH($B297,'Intervals'!$A$4:$A$33,0)),""))</f>
        <v/>
      </c>
      <c r="D297" s="17" t="n"/>
      <c r="E297" s="18" t="n"/>
      <c r="F297" s="19">
        <f>IF(OR($B297="",$E297=""),"",IFERROR(IF(AND(INDEX('Intervals'!$G$4:$G$33,MATCH($B297,'Intervals'!$A$4:$A$33,0))&lt;&gt;"No",N(INDEX('Intervals'!$C$4:$C$33,MATCH($B297,'Intervals'!$A$4:$A$33,0)))&gt;0),$E297+N(INDEX('Intervals'!$C$4:$C$33,MATCH($B297,'Intervals'!$A$4:$A$33,0))),""),""))</f>
        <v/>
      </c>
      <c r="G297" s="20">
        <f>IF(OR($B297="",$D297=""),"",IFERROR(IF(AND(INDEX('Intervals'!$G$4:$G$33,MATCH($B297,'Intervals'!$A$4:$A$33,0))&lt;&gt;"No",N(INDEX('Intervals'!$D$4:$D$33,MATCH($B297,'Intervals'!$A$4:$A$33,0)))&gt;0),EDATE($D297,N(INDEX('Intervals'!$D$4:$D$33,MATCH($B297,'Intervals'!$A$4:$A$33,0)))),""),""))</f>
        <v/>
      </c>
      <c r="H297" s="19">
        <f>IF($A297="","",IFERROR(IF(N(INDEX('Cars'!$H$4:$H$103,MATCH($A297,'Cars'!$A$4:$A$103,0)))&gt;0,INDEX('Cars'!$H$4:$H$103,MATCH($A297,'Cars'!$A$4:$A$103,0)),""),""))</f>
        <v/>
      </c>
      <c r="I297" s="19">
        <f>IF(OR($F297="",$H297=""),"",$F297-$H297)</f>
        <v/>
      </c>
      <c r="J297" s="21">
        <f>IF($G297="","",$G297-TODAY())</f>
        <v/>
      </c>
      <c r="K297" s="21">
        <f>IF($I297="","",IFERROR(IF(N(INDEX('Cars'!$J$4:$J$103,MATCH($A297,'Cars'!$A$4:$A$103,0)))&gt;0,ROUND($I297/INDEX('Cars'!$J$4:$J$103,MATCH($A297,'Cars'!$A$4:$A$103,0))*30,0),""),""))</f>
        <v/>
      </c>
      <c r="L297" s="21">
        <f>IF(AND($J297="",$K297=""),"",MIN(IF($J297="",99999,$J297),IF($K297="",99999,$K297)))</f>
        <v/>
      </c>
      <c r="M297" s="16">
        <f>IF(AND($I297="",$J297=""),"",IF(OR(AND($I297&lt;&gt;"",N($I297)&lt;0),AND($J297&lt;&gt;"",N($J297)&lt;0)),"Overdue",IF(OR(AND($I297&lt;&gt;"",N($I297)&lt;=IFERROR(INDEX('Intervals'!$E$4:$E$33,MATCH($B297,'Intervals'!$A$4:$A$33,0)),500)),AND($J297&lt;&gt;"",N($J297)&lt;=IFERROR(INDEX('Intervals'!$F$4:$F$33,MATCH($B297,'Intervals'!$A$4:$A$33,0)),14))),"Due soon","OK")))</f>
        <v/>
      </c>
      <c r="N297" s="15" t="n"/>
      <c r="O297" s="22">
        <f>IF(OR($M297="",$M297="OK"),"",$L297+ROW()/100000)</f>
        <v/>
      </c>
    </row>
    <row r="298">
      <c r="A298" s="15" t="n"/>
      <c r="B298" s="15" t="n"/>
      <c r="C298" s="16">
        <f>IF($B298="","",IFERROR(INDEX('Intervals'!$B$4:$B$33,MATCH($B298,'Intervals'!$A$4:$A$33,0)),""))</f>
        <v/>
      </c>
      <c r="D298" s="17" t="n"/>
      <c r="E298" s="18" t="n"/>
      <c r="F298" s="19">
        <f>IF(OR($B298="",$E298=""),"",IFERROR(IF(AND(INDEX('Intervals'!$G$4:$G$33,MATCH($B298,'Intervals'!$A$4:$A$33,0))&lt;&gt;"No",N(INDEX('Intervals'!$C$4:$C$33,MATCH($B298,'Intervals'!$A$4:$A$33,0)))&gt;0),$E298+N(INDEX('Intervals'!$C$4:$C$33,MATCH($B298,'Intervals'!$A$4:$A$33,0))),""),""))</f>
        <v/>
      </c>
      <c r="G298" s="20">
        <f>IF(OR($B298="",$D298=""),"",IFERROR(IF(AND(INDEX('Intervals'!$G$4:$G$33,MATCH($B298,'Intervals'!$A$4:$A$33,0))&lt;&gt;"No",N(INDEX('Intervals'!$D$4:$D$33,MATCH($B298,'Intervals'!$A$4:$A$33,0)))&gt;0),EDATE($D298,N(INDEX('Intervals'!$D$4:$D$33,MATCH($B298,'Intervals'!$A$4:$A$33,0)))),""),""))</f>
        <v/>
      </c>
      <c r="H298" s="19">
        <f>IF($A298="","",IFERROR(IF(N(INDEX('Cars'!$H$4:$H$103,MATCH($A298,'Cars'!$A$4:$A$103,0)))&gt;0,INDEX('Cars'!$H$4:$H$103,MATCH($A298,'Cars'!$A$4:$A$103,0)),""),""))</f>
        <v/>
      </c>
      <c r="I298" s="19">
        <f>IF(OR($F298="",$H298=""),"",$F298-$H298)</f>
        <v/>
      </c>
      <c r="J298" s="21">
        <f>IF($G298="","",$G298-TODAY())</f>
        <v/>
      </c>
      <c r="K298" s="21">
        <f>IF($I298="","",IFERROR(IF(N(INDEX('Cars'!$J$4:$J$103,MATCH($A298,'Cars'!$A$4:$A$103,0)))&gt;0,ROUND($I298/INDEX('Cars'!$J$4:$J$103,MATCH($A298,'Cars'!$A$4:$A$103,0))*30,0),""),""))</f>
        <v/>
      </c>
      <c r="L298" s="21">
        <f>IF(AND($J298="",$K298=""),"",MIN(IF($J298="",99999,$J298),IF($K298="",99999,$K298)))</f>
        <v/>
      </c>
      <c r="M298" s="16">
        <f>IF(AND($I298="",$J298=""),"",IF(OR(AND($I298&lt;&gt;"",N($I298)&lt;0),AND($J298&lt;&gt;"",N($J298)&lt;0)),"Overdue",IF(OR(AND($I298&lt;&gt;"",N($I298)&lt;=IFERROR(INDEX('Intervals'!$E$4:$E$33,MATCH($B298,'Intervals'!$A$4:$A$33,0)),500)),AND($J298&lt;&gt;"",N($J298)&lt;=IFERROR(INDEX('Intervals'!$F$4:$F$33,MATCH($B298,'Intervals'!$A$4:$A$33,0)),14))),"Due soon","OK")))</f>
        <v/>
      </c>
      <c r="N298" s="15" t="n"/>
      <c r="O298" s="22">
        <f>IF(OR($M298="",$M298="OK"),"",$L298+ROW()/100000)</f>
        <v/>
      </c>
    </row>
    <row r="299">
      <c r="A299" s="15" t="n"/>
      <c r="B299" s="15" t="n"/>
      <c r="C299" s="16">
        <f>IF($B299="","",IFERROR(INDEX('Intervals'!$B$4:$B$33,MATCH($B299,'Intervals'!$A$4:$A$33,0)),""))</f>
        <v/>
      </c>
      <c r="D299" s="17" t="n"/>
      <c r="E299" s="18" t="n"/>
      <c r="F299" s="19">
        <f>IF(OR($B299="",$E299=""),"",IFERROR(IF(AND(INDEX('Intervals'!$G$4:$G$33,MATCH($B299,'Intervals'!$A$4:$A$33,0))&lt;&gt;"No",N(INDEX('Intervals'!$C$4:$C$33,MATCH($B299,'Intervals'!$A$4:$A$33,0)))&gt;0),$E299+N(INDEX('Intervals'!$C$4:$C$33,MATCH($B299,'Intervals'!$A$4:$A$33,0))),""),""))</f>
        <v/>
      </c>
      <c r="G299" s="20">
        <f>IF(OR($B299="",$D299=""),"",IFERROR(IF(AND(INDEX('Intervals'!$G$4:$G$33,MATCH($B299,'Intervals'!$A$4:$A$33,0))&lt;&gt;"No",N(INDEX('Intervals'!$D$4:$D$33,MATCH($B299,'Intervals'!$A$4:$A$33,0)))&gt;0),EDATE($D299,N(INDEX('Intervals'!$D$4:$D$33,MATCH($B299,'Intervals'!$A$4:$A$33,0)))),""),""))</f>
        <v/>
      </c>
      <c r="H299" s="19">
        <f>IF($A299="","",IFERROR(IF(N(INDEX('Cars'!$H$4:$H$103,MATCH($A299,'Cars'!$A$4:$A$103,0)))&gt;0,INDEX('Cars'!$H$4:$H$103,MATCH($A299,'Cars'!$A$4:$A$103,0)),""),""))</f>
        <v/>
      </c>
      <c r="I299" s="19">
        <f>IF(OR($F299="",$H299=""),"",$F299-$H299)</f>
        <v/>
      </c>
      <c r="J299" s="21">
        <f>IF($G299="","",$G299-TODAY())</f>
        <v/>
      </c>
      <c r="K299" s="21">
        <f>IF($I299="","",IFERROR(IF(N(INDEX('Cars'!$J$4:$J$103,MATCH($A299,'Cars'!$A$4:$A$103,0)))&gt;0,ROUND($I299/INDEX('Cars'!$J$4:$J$103,MATCH($A299,'Cars'!$A$4:$A$103,0))*30,0),""),""))</f>
        <v/>
      </c>
      <c r="L299" s="21">
        <f>IF(AND($J299="",$K299=""),"",MIN(IF($J299="",99999,$J299),IF($K299="",99999,$K299)))</f>
        <v/>
      </c>
      <c r="M299" s="16">
        <f>IF(AND($I299="",$J299=""),"",IF(OR(AND($I299&lt;&gt;"",N($I299)&lt;0),AND($J299&lt;&gt;"",N($J299)&lt;0)),"Overdue",IF(OR(AND($I299&lt;&gt;"",N($I299)&lt;=IFERROR(INDEX('Intervals'!$E$4:$E$33,MATCH($B299,'Intervals'!$A$4:$A$33,0)),500)),AND($J299&lt;&gt;"",N($J299)&lt;=IFERROR(INDEX('Intervals'!$F$4:$F$33,MATCH($B299,'Intervals'!$A$4:$A$33,0)),14))),"Due soon","OK")))</f>
        <v/>
      </c>
      <c r="N299" s="15" t="n"/>
      <c r="O299" s="22">
        <f>IF(OR($M299="",$M299="OK"),"",$L299+ROW()/100000)</f>
        <v/>
      </c>
    </row>
    <row r="300">
      <c r="A300" s="15" t="n"/>
      <c r="B300" s="15" t="n"/>
      <c r="C300" s="16">
        <f>IF($B300="","",IFERROR(INDEX('Intervals'!$B$4:$B$33,MATCH($B300,'Intervals'!$A$4:$A$33,0)),""))</f>
        <v/>
      </c>
      <c r="D300" s="17" t="n"/>
      <c r="E300" s="18" t="n"/>
      <c r="F300" s="19">
        <f>IF(OR($B300="",$E300=""),"",IFERROR(IF(AND(INDEX('Intervals'!$G$4:$G$33,MATCH($B300,'Intervals'!$A$4:$A$33,0))&lt;&gt;"No",N(INDEX('Intervals'!$C$4:$C$33,MATCH($B300,'Intervals'!$A$4:$A$33,0)))&gt;0),$E300+N(INDEX('Intervals'!$C$4:$C$33,MATCH($B300,'Intervals'!$A$4:$A$33,0))),""),""))</f>
        <v/>
      </c>
      <c r="G300" s="20">
        <f>IF(OR($B300="",$D300=""),"",IFERROR(IF(AND(INDEX('Intervals'!$G$4:$G$33,MATCH($B300,'Intervals'!$A$4:$A$33,0))&lt;&gt;"No",N(INDEX('Intervals'!$D$4:$D$33,MATCH($B300,'Intervals'!$A$4:$A$33,0)))&gt;0),EDATE($D300,N(INDEX('Intervals'!$D$4:$D$33,MATCH($B300,'Intervals'!$A$4:$A$33,0)))),""),""))</f>
        <v/>
      </c>
      <c r="H300" s="19">
        <f>IF($A300="","",IFERROR(IF(N(INDEX('Cars'!$H$4:$H$103,MATCH($A300,'Cars'!$A$4:$A$103,0)))&gt;0,INDEX('Cars'!$H$4:$H$103,MATCH($A300,'Cars'!$A$4:$A$103,0)),""),""))</f>
        <v/>
      </c>
      <c r="I300" s="19">
        <f>IF(OR($F300="",$H300=""),"",$F300-$H300)</f>
        <v/>
      </c>
      <c r="J300" s="21">
        <f>IF($G300="","",$G300-TODAY())</f>
        <v/>
      </c>
      <c r="K300" s="21">
        <f>IF($I300="","",IFERROR(IF(N(INDEX('Cars'!$J$4:$J$103,MATCH($A300,'Cars'!$A$4:$A$103,0)))&gt;0,ROUND($I300/INDEX('Cars'!$J$4:$J$103,MATCH($A300,'Cars'!$A$4:$A$103,0))*30,0),""),""))</f>
        <v/>
      </c>
      <c r="L300" s="21">
        <f>IF(AND($J300="",$K300=""),"",MIN(IF($J300="",99999,$J300),IF($K300="",99999,$K300)))</f>
        <v/>
      </c>
      <c r="M300" s="16">
        <f>IF(AND($I300="",$J300=""),"",IF(OR(AND($I300&lt;&gt;"",N($I300)&lt;0),AND($J300&lt;&gt;"",N($J300)&lt;0)),"Overdue",IF(OR(AND($I300&lt;&gt;"",N($I300)&lt;=IFERROR(INDEX('Intervals'!$E$4:$E$33,MATCH($B300,'Intervals'!$A$4:$A$33,0)),500)),AND($J300&lt;&gt;"",N($J300)&lt;=IFERROR(INDEX('Intervals'!$F$4:$F$33,MATCH($B300,'Intervals'!$A$4:$A$33,0)),14))),"Due soon","OK")))</f>
        <v/>
      </c>
      <c r="N300" s="15" t="n"/>
      <c r="O300" s="22">
        <f>IF(OR($M300="",$M300="OK"),"",$L300+ROW()/100000)</f>
        <v/>
      </c>
    </row>
    <row r="301">
      <c r="A301" s="15" t="n"/>
      <c r="B301" s="15" t="n"/>
      <c r="C301" s="16">
        <f>IF($B301="","",IFERROR(INDEX('Intervals'!$B$4:$B$33,MATCH($B301,'Intervals'!$A$4:$A$33,0)),""))</f>
        <v/>
      </c>
      <c r="D301" s="17" t="n"/>
      <c r="E301" s="18" t="n"/>
      <c r="F301" s="19">
        <f>IF(OR($B301="",$E301=""),"",IFERROR(IF(AND(INDEX('Intervals'!$G$4:$G$33,MATCH($B301,'Intervals'!$A$4:$A$33,0))&lt;&gt;"No",N(INDEX('Intervals'!$C$4:$C$33,MATCH($B301,'Intervals'!$A$4:$A$33,0)))&gt;0),$E301+N(INDEX('Intervals'!$C$4:$C$33,MATCH($B301,'Intervals'!$A$4:$A$33,0))),""),""))</f>
        <v/>
      </c>
      <c r="G301" s="20">
        <f>IF(OR($B301="",$D301=""),"",IFERROR(IF(AND(INDEX('Intervals'!$G$4:$G$33,MATCH($B301,'Intervals'!$A$4:$A$33,0))&lt;&gt;"No",N(INDEX('Intervals'!$D$4:$D$33,MATCH($B301,'Intervals'!$A$4:$A$33,0)))&gt;0),EDATE($D301,N(INDEX('Intervals'!$D$4:$D$33,MATCH($B301,'Intervals'!$A$4:$A$33,0)))),""),""))</f>
        <v/>
      </c>
      <c r="H301" s="19">
        <f>IF($A301="","",IFERROR(IF(N(INDEX('Cars'!$H$4:$H$103,MATCH($A301,'Cars'!$A$4:$A$103,0)))&gt;0,INDEX('Cars'!$H$4:$H$103,MATCH($A301,'Cars'!$A$4:$A$103,0)),""),""))</f>
        <v/>
      </c>
      <c r="I301" s="19">
        <f>IF(OR($F301="",$H301=""),"",$F301-$H301)</f>
        <v/>
      </c>
      <c r="J301" s="21">
        <f>IF($G301="","",$G301-TODAY())</f>
        <v/>
      </c>
      <c r="K301" s="21">
        <f>IF($I301="","",IFERROR(IF(N(INDEX('Cars'!$J$4:$J$103,MATCH($A301,'Cars'!$A$4:$A$103,0)))&gt;0,ROUND($I301/INDEX('Cars'!$J$4:$J$103,MATCH($A301,'Cars'!$A$4:$A$103,0))*30,0),""),""))</f>
        <v/>
      </c>
      <c r="L301" s="21">
        <f>IF(AND($J301="",$K301=""),"",MIN(IF($J301="",99999,$J301),IF($K301="",99999,$K301)))</f>
        <v/>
      </c>
      <c r="M301" s="16">
        <f>IF(AND($I301="",$J301=""),"",IF(OR(AND($I301&lt;&gt;"",N($I301)&lt;0),AND($J301&lt;&gt;"",N($J301)&lt;0)),"Overdue",IF(OR(AND($I301&lt;&gt;"",N($I301)&lt;=IFERROR(INDEX('Intervals'!$E$4:$E$33,MATCH($B301,'Intervals'!$A$4:$A$33,0)),500)),AND($J301&lt;&gt;"",N($J301)&lt;=IFERROR(INDEX('Intervals'!$F$4:$F$33,MATCH($B301,'Intervals'!$A$4:$A$33,0)),14))),"Due soon","OK")))</f>
        <v/>
      </c>
      <c r="N301" s="15" t="n"/>
      <c r="O301" s="22">
        <f>IF(OR($M301="",$M301="OK"),"",$L301+ROW()/100000)</f>
        <v/>
      </c>
    </row>
    <row r="302">
      <c r="A302" s="15" t="n"/>
      <c r="B302" s="15" t="n"/>
      <c r="C302" s="16">
        <f>IF($B302="","",IFERROR(INDEX('Intervals'!$B$4:$B$33,MATCH($B302,'Intervals'!$A$4:$A$33,0)),""))</f>
        <v/>
      </c>
      <c r="D302" s="17" t="n"/>
      <c r="E302" s="18" t="n"/>
      <c r="F302" s="19">
        <f>IF(OR($B302="",$E302=""),"",IFERROR(IF(AND(INDEX('Intervals'!$G$4:$G$33,MATCH($B302,'Intervals'!$A$4:$A$33,0))&lt;&gt;"No",N(INDEX('Intervals'!$C$4:$C$33,MATCH($B302,'Intervals'!$A$4:$A$33,0)))&gt;0),$E302+N(INDEX('Intervals'!$C$4:$C$33,MATCH($B302,'Intervals'!$A$4:$A$33,0))),""),""))</f>
        <v/>
      </c>
      <c r="G302" s="20">
        <f>IF(OR($B302="",$D302=""),"",IFERROR(IF(AND(INDEX('Intervals'!$G$4:$G$33,MATCH($B302,'Intervals'!$A$4:$A$33,0))&lt;&gt;"No",N(INDEX('Intervals'!$D$4:$D$33,MATCH($B302,'Intervals'!$A$4:$A$33,0)))&gt;0),EDATE($D302,N(INDEX('Intervals'!$D$4:$D$33,MATCH($B302,'Intervals'!$A$4:$A$33,0)))),""),""))</f>
        <v/>
      </c>
      <c r="H302" s="19">
        <f>IF($A302="","",IFERROR(IF(N(INDEX('Cars'!$H$4:$H$103,MATCH($A302,'Cars'!$A$4:$A$103,0)))&gt;0,INDEX('Cars'!$H$4:$H$103,MATCH($A302,'Cars'!$A$4:$A$103,0)),""),""))</f>
        <v/>
      </c>
      <c r="I302" s="19">
        <f>IF(OR($F302="",$H302=""),"",$F302-$H302)</f>
        <v/>
      </c>
      <c r="J302" s="21">
        <f>IF($G302="","",$G302-TODAY())</f>
        <v/>
      </c>
      <c r="K302" s="21">
        <f>IF($I302="","",IFERROR(IF(N(INDEX('Cars'!$J$4:$J$103,MATCH($A302,'Cars'!$A$4:$A$103,0)))&gt;0,ROUND($I302/INDEX('Cars'!$J$4:$J$103,MATCH($A302,'Cars'!$A$4:$A$103,0))*30,0),""),""))</f>
        <v/>
      </c>
      <c r="L302" s="21">
        <f>IF(AND($J302="",$K302=""),"",MIN(IF($J302="",99999,$J302),IF($K302="",99999,$K302)))</f>
        <v/>
      </c>
      <c r="M302" s="16">
        <f>IF(AND($I302="",$J302=""),"",IF(OR(AND($I302&lt;&gt;"",N($I302)&lt;0),AND($J302&lt;&gt;"",N($J302)&lt;0)),"Overdue",IF(OR(AND($I302&lt;&gt;"",N($I302)&lt;=IFERROR(INDEX('Intervals'!$E$4:$E$33,MATCH($B302,'Intervals'!$A$4:$A$33,0)),500)),AND($J302&lt;&gt;"",N($J302)&lt;=IFERROR(INDEX('Intervals'!$F$4:$F$33,MATCH($B302,'Intervals'!$A$4:$A$33,0)),14))),"Due soon","OK")))</f>
        <v/>
      </c>
      <c r="N302" s="15" t="n"/>
      <c r="O302" s="22">
        <f>IF(OR($M302="",$M302="OK"),"",$L302+ROW()/100000)</f>
        <v/>
      </c>
    </row>
    <row r="303">
      <c r="A303" s="15" t="n"/>
      <c r="B303" s="15" t="n"/>
      <c r="C303" s="16">
        <f>IF($B303="","",IFERROR(INDEX('Intervals'!$B$4:$B$33,MATCH($B303,'Intervals'!$A$4:$A$33,0)),""))</f>
        <v/>
      </c>
      <c r="D303" s="17" t="n"/>
      <c r="E303" s="18" t="n"/>
      <c r="F303" s="19">
        <f>IF(OR($B303="",$E303=""),"",IFERROR(IF(AND(INDEX('Intervals'!$G$4:$G$33,MATCH($B303,'Intervals'!$A$4:$A$33,0))&lt;&gt;"No",N(INDEX('Intervals'!$C$4:$C$33,MATCH($B303,'Intervals'!$A$4:$A$33,0)))&gt;0),$E303+N(INDEX('Intervals'!$C$4:$C$33,MATCH($B303,'Intervals'!$A$4:$A$33,0))),""),""))</f>
        <v/>
      </c>
      <c r="G303" s="20">
        <f>IF(OR($B303="",$D303=""),"",IFERROR(IF(AND(INDEX('Intervals'!$G$4:$G$33,MATCH($B303,'Intervals'!$A$4:$A$33,0))&lt;&gt;"No",N(INDEX('Intervals'!$D$4:$D$33,MATCH($B303,'Intervals'!$A$4:$A$33,0)))&gt;0),EDATE($D303,N(INDEX('Intervals'!$D$4:$D$33,MATCH($B303,'Intervals'!$A$4:$A$33,0)))),""),""))</f>
        <v/>
      </c>
      <c r="H303" s="19">
        <f>IF($A303="","",IFERROR(IF(N(INDEX('Cars'!$H$4:$H$103,MATCH($A303,'Cars'!$A$4:$A$103,0)))&gt;0,INDEX('Cars'!$H$4:$H$103,MATCH($A303,'Cars'!$A$4:$A$103,0)),""),""))</f>
        <v/>
      </c>
      <c r="I303" s="19">
        <f>IF(OR($F303="",$H303=""),"",$F303-$H303)</f>
        <v/>
      </c>
      <c r="J303" s="21">
        <f>IF($G303="","",$G303-TODAY())</f>
        <v/>
      </c>
      <c r="K303" s="21">
        <f>IF($I303="","",IFERROR(IF(N(INDEX('Cars'!$J$4:$J$103,MATCH($A303,'Cars'!$A$4:$A$103,0)))&gt;0,ROUND($I303/INDEX('Cars'!$J$4:$J$103,MATCH($A303,'Cars'!$A$4:$A$103,0))*30,0),""),""))</f>
        <v/>
      </c>
      <c r="L303" s="21">
        <f>IF(AND($J303="",$K303=""),"",MIN(IF($J303="",99999,$J303),IF($K303="",99999,$K303)))</f>
        <v/>
      </c>
      <c r="M303" s="16">
        <f>IF(AND($I303="",$J303=""),"",IF(OR(AND($I303&lt;&gt;"",N($I303)&lt;0),AND($J303&lt;&gt;"",N($J303)&lt;0)),"Overdue",IF(OR(AND($I303&lt;&gt;"",N($I303)&lt;=IFERROR(INDEX('Intervals'!$E$4:$E$33,MATCH($B303,'Intervals'!$A$4:$A$33,0)),500)),AND($J303&lt;&gt;"",N($J303)&lt;=IFERROR(INDEX('Intervals'!$F$4:$F$33,MATCH($B303,'Intervals'!$A$4:$A$33,0)),14))),"Due soon","OK")))</f>
        <v/>
      </c>
      <c r="N303" s="15" t="n"/>
      <c r="O303" s="22">
        <f>IF(OR($M303="",$M303="OK"),"",$L303+ROW()/100000)</f>
        <v/>
      </c>
    </row>
    <row r="304">
      <c r="A304" s="15" t="n"/>
      <c r="B304" s="15" t="n"/>
      <c r="C304" s="16">
        <f>IF($B304="","",IFERROR(INDEX('Intervals'!$B$4:$B$33,MATCH($B304,'Intervals'!$A$4:$A$33,0)),""))</f>
        <v/>
      </c>
      <c r="D304" s="17" t="n"/>
      <c r="E304" s="18" t="n"/>
      <c r="F304" s="19">
        <f>IF(OR($B304="",$E304=""),"",IFERROR(IF(AND(INDEX('Intervals'!$G$4:$G$33,MATCH($B304,'Intervals'!$A$4:$A$33,0))&lt;&gt;"No",N(INDEX('Intervals'!$C$4:$C$33,MATCH($B304,'Intervals'!$A$4:$A$33,0)))&gt;0),$E304+N(INDEX('Intervals'!$C$4:$C$33,MATCH($B304,'Intervals'!$A$4:$A$33,0))),""),""))</f>
        <v/>
      </c>
      <c r="G304" s="20">
        <f>IF(OR($B304="",$D304=""),"",IFERROR(IF(AND(INDEX('Intervals'!$G$4:$G$33,MATCH($B304,'Intervals'!$A$4:$A$33,0))&lt;&gt;"No",N(INDEX('Intervals'!$D$4:$D$33,MATCH($B304,'Intervals'!$A$4:$A$33,0)))&gt;0),EDATE($D304,N(INDEX('Intervals'!$D$4:$D$33,MATCH($B304,'Intervals'!$A$4:$A$33,0)))),""),""))</f>
        <v/>
      </c>
      <c r="H304" s="19">
        <f>IF($A304="","",IFERROR(IF(N(INDEX('Cars'!$H$4:$H$103,MATCH($A304,'Cars'!$A$4:$A$103,0)))&gt;0,INDEX('Cars'!$H$4:$H$103,MATCH($A304,'Cars'!$A$4:$A$103,0)),""),""))</f>
        <v/>
      </c>
      <c r="I304" s="19">
        <f>IF(OR($F304="",$H304=""),"",$F304-$H304)</f>
        <v/>
      </c>
      <c r="J304" s="21">
        <f>IF($G304="","",$G304-TODAY())</f>
        <v/>
      </c>
      <c r="K304" s="21">
        <f>IF($I304="","",IFERROR(IF(N(INDEX('Cars'!$J$4:$J$103,MATCH($A304,'Cars'!$A$4:$A$103,0)))&gt;0,ROUND($I304/INDEX('Cars'!$J$4:$J$103,MATCH($A304,'Cars'!$A$4:$A$103,0))*30,0),""),""))</f>
        <v/>
      </c>
      <c r="L304" s="21">
        <f>IF(AND($J304="",$K304=""),"",MIN(IF($J304="",99999,$J304),IF($K304="",99999,$K304)))</f>
        <v/>
      </c>
      <c r="M304" s="16">
        <f>IF(AND($I304="",$J304=""),"",IF(OR(AND($I304&lt;&gt;"",N($I304)&lt;0),AND($J304&lt;&gt;"",N($J304)&lt;0)),"Overdue",IF(OR(AND($I304&lt;&gt;"",N($I304)&lt;=IFERROR(INDEX('Intervals'!$E$4:$E$33,MATCH($B304,'Intervals'!$A$4:$A$33,0)),500)),AND($J304&lt;&gt;"",N($J304)&lt;=IFERROR(INDEX('Intervals'!$F$4:$F$33,MATCH($B304,'Intervals'!$A$4:$A$33,0)),14))),"Due soon","OK")))</f>
        <v/>
      </c>
      <c r="N304" s="15" t="n"/>
      <c r="O304" s="22">
        <f>IF(OR($M304="",$M304="OK"),"",$L304+ROW()/100000)</f>
        <v/>
      </c>
    </row>
    <row r="305">
      <c r="A305" s="15" t="n"/>
      <c r="B305" s="15" t="n"/>
      <c r="C305" s="16">
        <f>IF($B305="","",IFERROR(INDEX('Intervals'!$B$4:$B$33,MATCH($B305,'Intervals'!$A$4:$A$33,0)),""))</f>
        <v/>
      </c>
      <c r="D305" s="17" t="n"/>
      <c r="E305" s="18" t="n"/>
      <c r="F305" s="19">
        <f>IF(OR($B305="",$E305=""),"",IFERROR(IF(AND(INDEX('Intervals'!$G$4:$G$33,MATCH($B305,'Intervals'!$A$4:$A$33,0))&lt;&gt;"No",N(INDEX('Intervals'!$C$4:$C$33,MATCH($B305,'Intervals'!$A$4:$A$33,0)))&gt;0),$E305+N(INDEX('Intervals'!$C$4:$C$33,MATCH($B305,'Intervals'!$A$4:$A$33,0))),""),""))</f>
        <v/>
      </c>
      <c r="G305" s="20">
        <f>IF(OR($B305="",$D305=""),"",IFERROR(IF(AND(INDEX('Intervals'!$G$4:$G$33,MATCH($B305,'Intervals'!$A$4:$A$33,0))&lt;&gt;"No",N(INDEX('Intervals'!$D$4:$D$33,MATCH($B305,'Intervals'!$A$4:$A$33,0)))&gt;0),EDATE($D305,N(INDEX('Intervals'!$D$4:$D$33,MATCH($B305,'Intervals'!$A$4:$A$33,0)))),""),""))</f>
        <v/>
      </c>
      <c r="H305" s="19">
        <f>IF($A305="","",IFERROR(IF(N(INDEX('Cars'!$H$4:$H$103,MATCH($A305,'Cars'!$A$4:$A$103,0)))&gt;0,INDEX('Cars'!$H$4:$H$103,MATCH($A305,'Cars'!$A$4:$A$103,0)),""),""))</f>
        <v/>
      </c>
      <c r="I305" s="19">
        <f>IF(OR($F305="",$H305=""),"",$F305-$H305)</f>
        <v/>
      </c>
      <c r="J305" s="21">
        <f>IF($G305="","",$G305-TODAY())</f>
        <v/>
      </c>
      <c r="K305" s="21">
        <f>IF($I305="","",IFERROR(IF(N(INDEX('Cars'!$J$4:$J$103,MATCH($A305,'Cars'!$A$4:$A$103,0)))&gt;0,ROUND($I305/INDEX('Cars'!$J$4:$J$103,MATCH($A305,'Cars'!$A$4:$A$103,0))*30,0),""),""))</f>
        <v/>
      </c>
      <c r="L305" s="21">
        <f>IF(AND($J305="",$K305=""),"",MIN(IF($J305="",99999,$J305),IF($K305="",99999,$K305)))</f>
        <v/>
      </c>
      <c r="M305" s="16">
        <f>IF(AND($I305="",$J305=""),"",IF(OR(AND($I305&lt;&gt;"",N($I305)&lt;0),AND($J305&lt;&gt;"",N($J305)&lt;0)),"Overdue",IF(OR(AND($I305&lt;&gt;"",N($I305)&lt;=IFERROR(INDEX('Intervals'!$E$4:$E$33,MATCH($B305,'Intervals'!$A$4:$A$33,0)),500)),AND($J305&lt;&gt;"",N($J305)&lt;=IFERROR(INDEX('Intervals'!$F$4:$F$33,MATCH($B305,'Intervals'!$A$4:$A$33,0)),14))),"Due soon","OK")))</f>
        <v/>
      </c>
      <c r="N305" s="15" t="n"/>
      <c r="O305" s="22">
        <f>IF(OR($M305="",$M305="OK"),"",$L305+ROW()/100000)</f>
        <v/>
      </c>
    </row>
    <row r="306">
      <c r="A306" s="15" t="n"/>
      <c r="B306" s="15" t="n"/>
      <c r="C306" s="16">
        <f>IF($B306="","",IFERROR(INDEX('Intervals'!$B$4:$B$33,MATCH($B306,'Intervals'!$A$4:$A$33,0)),""))</f>
        <v/>
      </c>
      <c r="D306" s="17" t="n"/>
      <c r="E306" s="18" t="n"/>
      <c r="F306" s="19">
        <f>IF(OR($B306="",$E306=""),"",IFERROR(IF(AND(INDEX('Intervals'!$G$4:$G$33,MATCH($B306,'Intervals'!$A$4:$A$33,0))&lt;&gt;"No",N(INDEX('Intervals'!$C$4:$C$33,MATCH($B306,'Intervals'!$A$4:$A$33,0)))&gt;0),$E306+N(INDEX('Intervals'!$C$4:$C$33,MATCH($B306,'Intervals'!$A$4:$A$33,0))),""),""))</f>
        <v/>
      </c>
      <c r="G306" s="20">
        <f>IF(OR($B306="",$D306=""),"",IFERROR(IF(AND(INDEX('Intervals'!$G$4:$G$33,MATCH($B306,'Intervals'!$A$4:$A$33,0))&lt;&gt;"No",N(INDEX('Intervals'!$D$4:$D$33,MATCH($B306,'Intervals'!$A$4:$A$33,0)))&gt;0),EDATE($D306,N(INDEX('Intervals'!$D$4:$D$33,MATCH($B306,'Intervals'!$A$4:$A$33,0)))),""),""))</f>
        <v/>
      </c>
      <c r="H306" s="19">
        <f>IF($A306="","",IFERROR(IF(N(INDEX('Cars'!$H$4:$H$103,MATCH($A306,'Cars'!$A$4:$A$103,0)))&gt;0,INDEX('Cars'!$H$4:$H$103,MATCH($A306,'Cars'!$A$4:$A$103,0)),""),""))</f>
        <v/>
      </c>
      <c r="I306" s="19">
        <f>IF(OR($F306="",$H306=""),"",$F306-$H306)</f>
        <v/>
      </c>
      <c r="J306" s="21">
        <f>IF($G306="","",$G306-TODAY())</f>
        <v/>
      </c>
      <c r="K306" s="21">
        <f>IF($I306="","",IFERROR(IF(N(INDEX('Cars'!$J$4:$J$103,MATCH($A306,'Cars'!$A$4:$A$103,0)))&gt;0,ROUND($I306/INDEX('Cars'!$J$4:$J$103,MATCH($A306,'Cars'!$A$4:$A$103,0))*30,0),""),""))</f>
        <v/>
      </c>
      <c r="L306" s="21">
        <f>IF(AND($J306="",$K306=""),"",MIN(IF($J306="",99999,$J306),IF($K306="",99999,$K306)))</f>
        <v/>
      </c>
      <c r="M306" s="16">
        <f>IF(AND($I306="",$J306=""),"",IF(OR(AND($I306&lt;&gt;"",N($I306)&lt;0),AND($J306&lt;&gt;"",N($J306)&lt;0)),"Overdue",IF(OR(AND($I306&lt;&gt;"",N($I306)&lt;=IFERROR(INDEX('Intervals'!$E$4:$E$33,MATCH($B306,'Intervals'!$A$4:$A$33,0)),500)),AND($J306&lt;&gt;"",N($J306)&lt;=IFERROR(INDEX('Intervals'!$F$4:$F$33,MATCH($B306,'Intervals'!$A$4:$A$33,0)),14))),"Due soon","OK")))</f>
        <v/>
      </c>
      <c r="N306" s="15" t="n"/>
      <c r="O306" s="22">
        <f>IF(OR($M306="",$M306="OK"),"",$L306+ROW()/100000)</f>
        <v/>
      </c>
    </row>
    <row r="307">
      <c r="A307" s="15" t="n"/>
      <c r="B307" s="15" t="n"/>
      <c r="C307" s="16">
        <f>IF($B307="","",IFERROR(INDEX('Intervals'!$B$4:$B$33,MATCH($B307,'Intervals'!$A$4:$A$33,0)),""))</f>
        <v/>
      </c>
      <c r="D307" s="17" t="n"/>
      <c r="E307" s="18" t="n"/>
      <c r="F307" s="19">
        <f>IF(OR($B307="",$E307=""),"",IFERROR(IF(AND(INDEX('Intervals'!$G$4:$G$33,MATCH($B307,'Intervals'!$A$4:$A$33,0))&lt;&gt;"No",N(INDEX('Intervals'!$C$4:$C$33,MATCH($B307,'Intervals'!$A$4:$A$33,0)))&gt;0),$E307+N(INDEX('Intervals'!$C$4:$C$33,MATCH($B307,'Intervals'!$A$4:$A$33,0))),""),""))</f>
        <v/>
      </c>
      <c r="G307" s="20">
        <f>IF(OR($B307="",$D307=""),"",IFERROR(IF(AND(INDEX('Intervals'!$G$4:$G$33,MATCH($B307,'Intervals'!$A$4:$A$33,0))&lt;&gt;"No",N(INDEX('Intervals'!$D$4:$D$33,MATCH($B307,'Intervals'!$A$4:$A$33,0)))&gt;0),EDATE($D307,N(INDEX('Intervals'!$D$4:$D$33,MATCH($B307,'Intervals'!$A$4:$A$33,0)))),""),""))</f>
        <v/>
      </c>
      <c r="H307" s="19">
        <f>IF($A307="","",IFERROR(IF(N(INDEX('Cars'!$H$4:$H$103,MATCH($A307,'Cars'!$A$4:$A$103,0)))&gt;0,INDEX('Cars'!$H$4:$H$103,MATCH($A307,'Cars'!$A$4:$A$103,0)),""),""))</f>
        <v/>
      </c>
      <c r="I307" s="19">
        <f>IF(OR($F307="",$H307=""),"",$F307-$H307)</f>
        <v/>
      </c>
      <c r="J307" s="21">
        <f>IF($G307="","",$G307-TODAY())</f>
        <v/>
      </c>
      <c r="K307" s="21">
        <f>IF($I307="","",IFERROR(IF(N(INDEX('Cars'!$J$4:$J$103,MATCH($A307,'Cars'!$A$4:$A$103,0)))&gt;0,ROUND($I307/INDEX('Cars'!$J$4:$J$103,MATCH($A307,'Cars'!$A$4:$A$103,0))*30,0),""),""))</f>
        <v/>
      </c>
      <c r="L307" s="21">
        <f>IF(AND($J307="",$K307=""),"",MIN(IF($J307="",99999,$J307),IF($K307="",99999,$K307)))</f>
        <v/>
      </c>
      <c r="M307" s="16">
        <f>IF(AND($I307="",$J307=""),"",IF(OR(AND($I307&lt;&gt;"",N($I307)&lt;0),AND($J307&lt;&gt;"",N($J307)&lt;0)),"Overdue",IF(OR(AND($I307&lt;&gt;"",N($I307)&lt;=IFERROR(INDEX('Intervals'!$E$4:$E$33,MATCH($B307,'Intervals'!$A$4:$A$33,0)),500)),AND($J307&lt;&gt;"",N($J307)&lt;=IFERROR(INDEX('Intervals'!$F$4:$F$33,MATCH($B307,'Intervals'!$A$4:$A$33,0)),14))),"Due soon","OK")))</f>
        <v/>
      </c>
      <c r="N307" s="15" t="n"/>
      <c r="O307" s="22">
        <f>IF(OR($M307="",$M307="OK"),"",$L307+ROW()/100000)</f>
        <v/>
      </c>
    </row>
    <row r="308">
      <c r="A308" s="15" t="n"/>
      <c r="B308" s="15" t="n"/>
      <c r="C308" s="16">
        <f>IF($B308="","",IFERROR(INDEX('Intervals'!$B$4:$B$33,MATCH($B308,'Intervals'!$A$4:$A$33,0)),""))</f>
        <v/>
      </c>
      <c r="D308" s="17" t="n"/>
      <c r="E308" s="18" t="n"/>
      <c r="F308" s="19">
        <f>IF(OR($B308="",$E308=""),"",IFERROR(IF(AND(INDEX('Intervals'!$G$4:$G$33,MATCH($B308,'Intervals'!$A$4:$A$33,0))&lt;&gt;"No",N(INDEX('Intervals'!$C$4:$C$33,MATCH($B308,'Intervals'!$A$4:$A$33,0)))&gt;0),$E308+N(INDEX('Intervals'!$C$4:$C$33,MATCH($B308,'Intervals'!$A$4:$A$33,0))),""),""))</f>
        <v/>
      </c>
      <c r="G308" s="20">
        <f>IF(OR($B308="",$D308=""),"",IFERROR(IF(AND(INDEX('Intervals'!$G$4:$G$33,MATCH($B308,'Intervals'!$A$4:$A$33,0))&lt;&gt;"No",N(INDEX('Intervals'!$D$4:$D$33,MATCH($B308,'Intervals'!$A$4:$A$33,0)))&gt;0),EDATE($D308,N(INDEX('Intervals'!$D$4:$D$33,MATCH($B308,'Intervals'!$A$4:$A$33,0)))),""),""))</f>
        <v/>
      </c>
      <c r="H308" s="19">
        <f>IF($A308="","",IFERROR(IF(N(INDEX('Cars'!$H$4:$H$103,MATCH($A308,'Cars'!$A$4:$A$103,0)))&gt;0,INDEX('Cars'!$H$4:$H$103,MATCH($A308,'Cars'!$A$4:$A$103,0)),""),""))</f>
        <v/>
      </c>
      <c r="I308" s="19">
        <f>IF(OR($F308="",$H308=""),"",$F308-$H308)</f>
        <v/>
      </c>
      <c r="J308" s="21">
        <f>IF($G308="","",$G308-TODAY())</f>
        <v/>
      </c>
      <c r="K308" s="21">
        <f>IF($I308="","",IFERROR(IF(N(INDEX('Cars'!$J$4:$J$103,MATCH($A308,'Cars'!$A$4:$A$103,0)))&gt;0,ROUND($I308/INDEX('Cars'!$J$4:$J$103,MATCH($A308,'Cars'!$A$4:$A$103,0))*30,0),""),""))</f>
        <v/>
      </c>
      <c r="L308" s="21">
        <f>IF(AND($J308="",$K308=""),"",MIN(IF($J308="",99999,$J308),IF($K308="",99999,$K308)))</f>
        <v/>
      </c>
      <c r="M308" s="16">
        <f>IF(AND($I308="",$J308=""),"",IF(OR(AND($I308&lt;&gt;"",N($I308)&lt;0),AND($J308&lt;&gt;"",N($J308)&lt;0)),"Overdue",IF(OR(AND($I308&lt;&gt;"",N($I308)&lt;=IFERROR(INDEX('Intervals'!$E$4:$E$33,MATCH($B308,'Intervals'!$A$4:$A$33,0)),500)),AND($J308&lt;&gt;"",N($J308)&lt;=IFERROR(INDEX('Intervals'!$F$4:$F$33,MATCH($B308,'Intervals'!$A$4:$A$33,0)),14))),"Due soon","OK")))</f>
        <v/>
      </c>
      <c r="N308" s="15" t="n"/>
      <c r="O308" s="22">
        <f>IF(OR($M308="",$M308="OK"),"",$L308+ROW()/100000)</f>
        <v/>
      </c>
    </row>
    <row r="309">
      <c r="A309" s="15" t="n"/>
      <c r="B309" s="15" t="n"/>
      <c r="C309" s="16">
        <f>IF($B309="","",IFERROR(INDEX('Intervals'!$B$4:$B$33,MATCH($B309,'Intervals'!$A$4:$A$33,0)),""))</f>
        <v/>
      </c>
      <c r="D309" s="17" t="n"/>
      <c r="E309" s="18" t="n"/>
      <c r="F309" s="19">
        <f>IF(OR($B309="",$E309=""),"",IFERROR(IF(AND(INDEX('Intervals'!$G$4:$G$33,MATCH($B309,'Intervals'!$A$4:$A$33,0))&lt;&gt;"No",N(INDEX('Intervals'!$C$4:$C$33,MATCH($B309,'Intervals'!$A$4:$A$33,0)))&gt;0),$E309+N(INDEX('Intervals'!$C$4:$C$33,MATCH($B309,'Intervals'!$A$4:$A$33,0))),""),""))</f>
        <v/>
      </c>
      <c r="G309" s="20">
        <f>IF(OR($B309="",$D309=""),"",IFERROR(IF(AND(INDEX('Intervals'!$G$4:$G$33,MATCH($B309,'Intervals'!$A$4:$A$33,0))&lt;&gt;"No",N(INDEX('Intervals'!$D$4:$D$33,MATCH($B309,'Intervals'!$A$4:$A$33,0)))&gt;0),EDATE($D309,N(INDEX('Intervals'!$D$4:$D$33,MATCH($B309,'Intervals'!$A$4:$A$33,0)))),""),""))</f>
        <v/>
      </c>
      <c r="H309" s="19">
        <f>IF($A309="","",IFERROR(IF(N(INDEX('Cars'!$H$4:$H$103,MATCH($A309,'Cars'!$A$4:$A$103,0)))&gt;0,INDEX('Cars'!$H$4:$H$103,MATCH($A309,'Cars'!$A$4:$A$103,0)),""),""))</f>
        <v/>
      </c>
      <c r="I309" s="19">
        <f>IF(OR($F309="",$H309=""),"",$F309-$H309)</f>
        <v/>
      </c>
      <c r="J309" s="21">
        <f>IF($G309="","",$G309-TODAY())</f>
        <v/>
      </c>
      <c r="K309" s="21">
        <f>IF($I309="","",IFERROR(IF(N(INDEX('Cars'!$J$4:$J$103,MATCH($A309,'Cars'!$A$4:$A$103,0)))&gt;0,ROUND($I309/INDEX('Cars'!$J$4:$J$103,MATCH($A309,'Cars'!$A$4:$A$103,0))*30,0),""),""))</f>
        <v/>
      </c>
      <c r="L309" s="21">
        <f>IF(AND($J309="",$K309=""),"",MIN(IF($J309="",99999,$J309),IF($K309="",99999,$K309)))</f>
        <v/>
      </c>
      <c r="M309" s="16">
        <f>IF(AND($I309="",$J309=""),"",IF(OR(AND($I309&lt;&gt;"",N($I309)&lt;0),AND($J309&lt;&gt;"",N($J309)&lt;0)),"Overdue",IF(OR(AND($I309&lt;&gt;"",N($I309)&lt;=IFERROR(INDEX('Intervals'!$E$4:$E$33,MATCH($B309,'Intervals'!$A$4:$A$33,0)),500)),AND($J309&lt;&gt;"",N($J309)&lt;=IFERROR(INDEX('Intervals'!$F$4:$F$33,MATCH($B309,'Intervals'!$A$4:$A$33,0)),14))),"Due soon","OK")))</f>
        <v/>
      </c>
      <c r="N309" s="15" t="n"/>
      <c r="O309" s="22">
        <f>IF(OR($M309="",$M309="OK"),"",$L309+ROW()/100000)</f>
        <v/>
      </c>
    </row>
    <row r="310">
      <c r="A310" s="15" t="n"/>
      <c r="B310" s="15" t="n"/>
      <c r="C310" s="16">
        <f>IF($B310="","",IFERROR(INDEX('Intervals'!$B$4:$B$33,MATCH($B310,'Intervals'!$A$4:$A$33,0)),""))</f>
        <v/>
      </c>
      <c r="D310" s="17" t="n"/>
      <c r="E310" s="18" t="n"/>
      <c r="F310" s="19">
        <f>IF(OR($B310="",$E310=""),"",IFERROR(IF(AND(INDEX('Intervals'!$G$4:$G$33,MATCH($B310,'Intervals'!$A$4:$A$33,0))&lt;&gt;"No",N(INDEX('Intervals'!$C$4:$C$33,MATCH($B310,'Intervals'!$A$4:$A$33,0)))&gt;0),$E310+N(INDEX('Intervals'!$C$4:$C$33,MATCH($B310,'Intervals'!$A$4:$A$33,0))),""),""))</f>
        <v/>
      </c>
      <c r="G310" s="20">
        <f>IF(OR($B310="",$D310=""),"",IFERROR(IF(AND(INDEX('Intervals'!$G$4:$G$33,MATCH($B310,'Intervals'!$A$4:$A$33,0))&lt;&gt;"No",N(INDEX('Intervals'!$D$4:$D$33,MATCH($B310,'Intervals'!$A$4:$A$33,0)))&gt;0),EDATE($D310,N(INDEX('Intervals'!$D$4:$D$33,MATCH($B310,'Intervals'!$A$4:$A$33,0)))),""),""))</f>
        <v/>
      </c>
      <c r="H310" s="19">
        <f>IF($A310="","",IFERROR(IF(N(INDEX('Cars'!$H$4:$H$103,MATCH($A310,'Cars'!$A$4:$A$103,0)))&gt;0,INDEX('Cars'!$H$4:$H$103,MATCH($A310,'Cars'!$A$4:$A$103,0)),""),""))</f>
        <v/>
      </c>
      <c r="I310" s="19">
        <f>IF(OR($F310="",$H310=""),"",$F310-$H310)</f>
        <v/>
      </c>
      <c r="J310" s="21">
        <f>IF($G310="","",$G310-TODAY())</f>
        <v/>
      </c>
      <c r="K310" s="21">
        <f>IF($I310="","",IFERROR(IF(N(INDEX('Cars'!$J$4:$J$103,MATCH($A310,'Cars'!$A$4:$A$103,0)))&gt;0,ROUND($I310/INDEX('Cars'!$J$4:$J$103,MATCH($A310,'Cars'!$A$4:$A$103,0))*30,0),""),""))</f>
        <v/>
      </c>
      <c r="L310" s="21">
        <f>IF(AND($J310="",$K310=""),"",MIN(IF($J310="",99999,$J310),IF($K310="",99999,$K310)))</f>
        <v/>
      </c>
      <c r="M310" s="16">
        <f>IF(AND($I310="",$J310=""),"",IF(OR(AND($I310&lt;&gt;"",N($I310)&lt;0),AND($J310&lt;&gt;"",N($J310)&lt;0)),"Overdue",IF(OR(AND($I310&lt;&gt;"",N($I310)&lt;=IFERROR(INDEX('Intervals'!$E$4:$E$33,MATCH($B310,'Intervals'!$A$4:$A$33,0)),500)),AND($J310&lt;&gt;"",N($J310)&lt;=IFERROR(INDEX('Intervals'!$F$4:$F$33,MATCH($B310,'Intervals'!$A$4:$A$33,0)),14))),"Due soon","OK")))</f>
        <v/>
      </c>
      <c r="N310" s="15" t="n"/>
      <c r="O310" s="22">
        <f>IF(OR($M310="",$M310="OK"),"",$L310+ROW()/100000)</f>
        <v/>
      </c>
    </row>
    <row r="311">
      <c r="A311" s="15" t="n"/>
      <c r="B311" s="15" t="n"/>
      <c r="C311" s="16">
        <f>IF($B311="","",IFERROR(INDEX('Intervals'!$B$4:$B$33,MATCH($B311,'Intervals'!$A$4:$A$33,0)),""))</f>
        <v/>
      </c>
      <c r="D311" s="17" t="n"/>
      <c r="E311" s="18" t="n"/>
      <c r="F311" s="19">
        <f>IF(OR($B311="",$E311=""),"",IFERROR(IF(AND(INDEX('Intervals'!$G$4:$G$33,MATCH($B311,'Intervals'!$A$4:$A$33,0))&lt;&gt;"No",N(INDEX('Intervals'!$C$4:$C$33,MATCH($B311,'Intervals'!$A$4:$A$33,0)))&gt;0),$E311+N(INDEX('Intervals'!$C$4:$C$33,MATCH($B311,'Intervals'!$A$4:$A$33,0))),""),""))</f>
        <v/>
      </c>
      <c r="G311" s="20">
        <f>IF(OR($B311="",$D311=""),"",IFERROR(IF(AND(INDEX('Intervals'!$G$4:$G$33,MATCH($B311,'Intervals'!$A$4:$A$33,0))&lt;&gt;"No",N(INDEX('Intervals'!$D$4:$D$33,MATCH($B311,'Intervals'!$A$4:$A$33,0)))&gt;0),EDATE($D311,N(INDEX('Intervals'!$D$4:$D$33,MATCH($B311,'Intervals'!$A$4:$A$33,0)))),""),""))</f>
        <v/>
      </c>
      <c r="H311" s="19">
        <f>IF($A311="","",IFERROR(IF(N(INDEX('Cars'!$H$4:$H$103,MATCH($A311,'Cars'!$A$4:$A$103,0)))&gt;0,INDEX('Cars'!$H$4:$H$103,MATCH($A311,'Cars'!$A$4:$A$103,0)),""),""))</f>
        <v/>
      </c>
      <c r="I311" s="19">
        <f>IF(OR($F311="",$H311=""),"",$F311-$H311)</f>
        <v/>
      </c>
      <c r="J311" s="21">
        <f>IF($G311="","",$G311-TODAY())</f>
        <v/>
      </c>
      <c r="K311" s="21">
        <f>IF($I311="","",IFERROR(IF(N(INDEX('Cars'!$J$4:$J$103,MATCH($A311,'Cars'!$A$4:$A$103,0)))&gt;0,ROUND($I311/INDEX('Cars'!$J$4:$J$103,MATCH($A311,'Cars'!$A$4:$A$103,0))*30,0),""),""))</f>
        <v/>
      </c>
      <c r="L311" s="21">
        <f>IF(AND($J311="",$K311=""),"",MIN(IF($J311="",99999,$J311),IF($K311="",99999,$K311)))</f>
        <v/>
      </c>
      <c r="M311" s="16">
        <f>IF(AND($I311="",$J311=""),"",IF(OR(AND($I311&lt;&gt;"",N($I311)&lt;0),AND($J311&lt;&gt;"",N($J311)&lt;0)),"Overdue",IF(OR(AND($I311&lt;&gt;"",N($I311)&lt;=IFERROR(INDEX('Intervals'!$E$4:$E$33,MATCH($B311,'Intervals'!$A$4:$A$33,0)),500)),AND($J311&lt;&gt;"",N($J311)&lt;=IFERROR(INDEX('Intervals'!$F$4:$F$33,MATCH($B311,'Intervals'!$A$4:$A$33,0)),14))),"Due soon","OK")))</f>
        <v/>
      </c>
      <c r="N311" s="15" t="n"/>
      <c r="O311" s="22">
        <f>IF(OR($M311="",$M311="OK"),"",$L311+ROW()/100000)</f>
        <v/>
      </c>
    </row>
    <row r="312">
      <c r="A312" s="15" t="n"/>
      <c r="B312" s="15" t="n"/>
      <c r="C312" s="16">
        <f>IF($B312="","",IFERROR(INDEX('Intervals'!$B$4:$B$33,MATCH($B312,'Intervals'!$A$4:$A$33,0)),""))</f>
        <v/>
      </c>
      <c r="D312" s="17" t="n"/>
      <c r="E312" s="18" t="n"/>
      <c r="F312" s="19">
        <f>IF(OR($B312="",$E312=""),"",IFERROR(IF(AND(INDEX('Intervals'!$G$4:$G$33,MATCH($B312,'Intervals'!$A$4:$A$33,0))&lt;&gt;"No",N(INDEX('Intervals'!$C$4:$C$33,MATCH($B312,'Intervals'!$A$4:$A$33,0)))&gt;0),$E312+N(INDEX('Intervals'!$C$4:$C$33,MATCH($B312,'Intervals'!$A$4:$A$33,0))),""),""))</f>
        <v/>
      </c>
      <c r="G312" s="20">
        <f>IF(OR($B312="",$D312=""),"",IFERROR(IF(AND(INDEX('Intervals'!$G$4:$G$33,MATCH($B312,'Intervals'!$A$4:$A$33,0))&lt;&gt;"No",N(INDEX('Intervals'!$D$4:$D$33,MATCH($B312,'Intervals'!$A$4:$A$33,0)))&gt;0),EDATE($D312,N(INDEX('Intervals'!$D$4:$D$33,MATCH($B312,'Intervals'!$A$4:$A$33,0)))),""),""))</f>
        <v/>
      </c>
      <c r="H312" s="19">
        <f>IF($A312="","",IFERROR(IF(N(INDEX('Cars'!$H$4:$H$103,MATCH($A312,'Cars'!$A$4:$A$103,0)))&gt;0,INDEX('Cars'!$H$4:$H$103,MATCH($A312,'Cars'!$A$4:$A$103,0)),""),""))</f>
        <v/>
      </c>
      <c r="I312" s="19">
        <f>IF(OR($F312="",$H312=""),"",$F312-$H312)</f>
        <v/>
      </c>
      <c r="J312" s="21">
        <f>IF($G312="","",$G312-TODAY())</f>
        <v/>
      </c>
      <c r="K312" s="21">
        <f>IF($I312="","",IFERROR(IF(N(INDEX('Cars'!$J$4:$J$103,MATCH($A312,'Cars'!$A$4:$A$103,0)))&gt;0,ROUND($I312/INDEX('Cars'!$J$4:$J$103,MATCH($A312,'Cars'!$A$4:$A$103,0))*30,0),""),""))</f>
        <v/>
      </c>
      <c r="L312" s="21">
        <f>IF(AND($J312="",$K312=""),"",MIN(IF($J312="",99999,$J312),IF($K312="",99999,$K312)))</f>
        <v/>
      </c>
      <c r="M312" s="16">
        <f>IF(AND($I312="",$J312=""),"",IF(OR(AND($I312&lt;&gt;"",N($I312)&lt;0),AND($J312&lt;&gt;"",N($J312)&lt;0)),"Overdue",IF(OR(AND($I312&lt;&gt;"",N($I312)&lt;=IFERROR(INDEX('Intervals'!$E$4:$E$33,MATCH($B312,'Intervals'!$A$4:$A$33,0)),500)),AND($J312&lt;&gt;"",N($J312)&lt;=IFERROR(INDEX('Intervals'!$F$4:$F$33,MATCH($B312,'Intervals'!$A$4:$A$33,0)),14))),"Due soon","OK")))</f>
        <v/>
      </c>
      <c r="N312" s="15" t="n"/>
      <c r="O312" s="22">
        <f>IF(OR($M312="",$M312="OK"),"",$L312+ROW()/100000)</f>
        <v/>
      </c>
    </row>
    <row r="313">
      <c r="A313" s="15" t="n"/>
      <c r="B313" s="15" t="n"/>
      <c r="C313" s="16">
        <f>IF($B313="","",IFERROR(INDEX('Intervals'!$B$4:$B$33,MATCH($B313,'Intervals'!$A$4:$A$33,0)),""))</f>
        <v/>
      </c>
      <c r="D313" s="17" t="n"/>
      <c r="E313" s="18" t="n"/>
      <c r="F313" s="19">
        <f>IF(OR($B313="",$E313=""),"",IFERROR(IF(AND(INDEX('Intervals'!$G$4:$G$33,MATCH($B313,'Intervals'!$A$4:$A$33,0))&lt;&gt;"No",N(INDEX('Intervals'!$C$4:$C$33,MATCH($B313,'Intervals'!$A$4:$A$33,0)))&gt;0),$E313+N(INDEX('Intervals'!$C$4:$C$33,MATCH($B313,'Intervals'!$A$4:$A$33,0))),""),""))</f>
        <v/>
      </c>
      <c r="G313" s="20">
        <f>IF(OR($B313="",$D313=""),"",IFERROR(IF(AND(INDEX('Intervals'!$G$4:$G$33,MATCH($B313,'Intervals'!$A$4:$A$33,0))&lt;&gt;"No",N(INDEX('Intervals'!$D$4:$D$33,MATCH($B313,'Intervals'!$A$4:$A$33,0)))&gt;0),EDATE($D313,N(INDEX('Intervals'!$D$4:$D$33,MATCH($B313,'Intervals'!$A$4:$A$33,0)))),""),""))</f>
        <v/>
      </c>
      <c r="H313" s="19">
        <f>IF($A313="","",IFERROR(IF(N(INDEX('Cars'!$H$4:$H$103,MATCH($A313,'Cars'!$A$4:$A$103,0)))&gt;0,INDEX('Cars'!$H$4:$H$103,MATCH($A313,'Cars'!$A$4:$A$103,0)),""),""))</f>
        <v/>
      </c>
      <c r="I313" s="19">
        <f>IF(OR($F313="",$H313=""),"",$F313-$H313)</f>
        <v/>
      </c>
      <c r="J313" s="21">
        <f>IF($G313="","",$G313-TODAY())</f>
        <v/>
      </c>
      <c r="K313" s="21">
        <f>IF($I313="","",IFERROR(IF(N(INDEX('Cars'!$J$4:$J$103,MATCH($A313,'Cars'!$A$4:$A$103,0)))&gt;0,ROUND($I313/INDEX('Cars'!$J$4:$J$103,MATCH($A313,'Cars'!$A$4:$A$103,0))*30,0),""),""))</f>
        <v/>
      </c>
      <c r="L313" s="21">
        <f>IF(AND($J313="",$K313=""),"",MIN(IF($J313="",99999,$J313),IF($K313="",99999,$K313)))</f>
        <v/>
      </c>
      <c r="M313" s="16">
        <f>IF(AND($I313="",$J313=""),"",IF(OR(AND($I313&lt;&gt;"",N($I313)&lt;0),AND($J313&lt;&gt;"",N($J313)&lt;0)),"Overdue",IF(OR(AND($I313&lt;&gt;"",N($I313)&lt;=IFERROR(INDEX('Intervals'!$E$4:$E$33,MATCH($B313,'Intervals'!$A$4:$A$33,0)),500)),AND($J313&lt;&gt;"",N($J313)&lt;=IFERROR(INDEX('Intervals'!$F$4:$F$33,MATCH($B313,'Intervals'!$A$4:$A$33,0)),14))),"Due soon","OK")))</f>
        <v/>
      </c>
      <c r="N313" s="15" t="n"/>
      <c r="O313" s="22">
        <f>IF(OR($M313="",$M313="OK"),"",$L313+ROW()/100000)</f>
        <v/>
      </c>
    </row>
    <row r="314">
      <c r="A314" s="15" t="n"/>
      <c r="B314" s="15" t="n"/>
      <c r="C314" s="16">
        <f>IF($B314="","",IFERROR(INDEX('Intervals'!$B$4:$B$33,MATCH($B314,'Intervals'!$A$4:$A$33,0)),""))</f>
        <v/>
      </c>
      <c r="D314" s="17" t="n"/>
      <c r="E314" s="18" t="n"/>
      <c r="F314" s="19">
        <f>IF(OR($B314="",$E314=""),"",IFERROR(IF(AND(INDEX('Intervals'!$G$4:$G$33,MATCH($B314,'Intervals'!$A$4:$A$33,0))&lt;&gt;"No",N(INDEX('Intervals'!$C$4:$C$33,MATCH($B314,'Intervals'!$A$4:$A$33,0)))&gt;0),$E314+N(INDEX('Intervals'!$C$4:$C$33,MATCH($B314,'Intervals'!$A$4:$A$33,0))),""),""))</f>
        <v/>
      </c>
      <c r="G314" s="20">
        <f>IF(OR($B314="",$D314=""),"",IFERROR(IF(AND(INDEX('Intervals'!$G$4:$G$33,MATCH($B314,'Intervals'!$A$4:$A$33,0))&lt;&gt;"No",N(INDEX('Intervals'!$D$4:$D$33,MATCH($B314,'Intervals'!$A$4:$A$33,0)))&gt;0),EDATE($D314,N(INDEX('Intervals'!$D$4:$D$33,MATCH($B314,'Intervals'!$A$4:$A$33,0)))),""),""))</f>
        <v/>
      </c>
      <c r="H314" s="19">
        <f>IF($A314="","",IFERROR(IF(N(INDEX('Cars'!$H$4:$H$103,MATCH($A314,'Cars'!$A$4:$A$103,0)))&gt;0,INDEX('Cars'!$H$4:$H$103,MATCH($A314,'Cars'!$A$4:$A$103,0)),""),""))</f>
        <v/>
      </c>
      <c r="I314" s="19">
        <f>IF(OR($F314="",$H314=""),"",$F314-$H314)</f>
        <v/>
      </c>
      <c r="J314" s="21">
        <f>IF($G314="","",$G314-TODAY())</f>
        <v/>
      </c>
      <c r="K314" s="21">
        <f>IF($I314="","",IFERROR(IF(N(INDEX('Cars'!$J$4:$J$103,MATCH($A314,'Cars'!$A$4:$A$103,0)))&gt;0,ROUND($I314/INDEX('Cars'!$J$4:$J$103,MATCH($A314,'Cars'!$A$4:$A$103,0))*30,0),""),""))</f>
        <v/>
      </c>
      <c r="L314" s="21">
        <f>IF(AND($J314="",$K314=""),"",MIN(IF($J314="",99999,$J314),IF($K314="",99999,$K314)))</f>
        <v/>
      </c>
      <c r="M314" s="16">
        <f>IF(AND($I314="",$J314=""),"",IF(OR(AND($I314&lt;&gt;"",N($I314)&lt;0),AND($J314&lt;&gt;"",N($J314)&lt;0)),"Overdue",IF(OR(AND($I314&lt;&gt;"",N($I314)&lt;=IFERROR(INDEX('Intervals'!$E$4:$E$33,MATCH($B314,'Intervals'!$A$4:$A$33,0)),500)),AND($J314&lt;&gt;"",N($J314)&lt;=IFERROR(INDEX('Intervals'!$F$4:$F$33,MATCH($B314,'Intervals'!$A$4:$A$33,0)),14))),"Due soon","OK")))</f>
        <v/>
      </c>
      <c r="N314" s="15" t="n"/>
      <c r="O314" s="22">
        <f>IF(OR($M314="",$M314="OK"),"",$L314+ROW()/100000)</f>
        <v/>
      </c>
    </row>
    <row r="315">
      <c r="A315" s="15" t="n"/>
      <c r="B315" s="15" t="n"/>
      <c r="C315" s="16">
        <f>IF($B315="","",IFERROR(INDEX('Intervals'!$B$4:$B$33,MATCH($B315,'Intervals'!$A$4:$A$33,0)),""))</f>
        <v/>
      </c>
      <c r="D315" s="17" t="n"/>
      <c r="E315" s="18" t="n"/>
      <c r="F315" s="19">
        <f>IF(OR($B315="",$E315=""),"",IFERROR(IF(AND(INDEX('Intervals'!$G$4:$G$33,MATCH($B315,'Intervals'!$A$4:$A$33,0))&lt;&gt;"No",N(INDEX('Intervals'!$C$4:$C$33,MATCH($B315,'Intervals'!$A$4:$A$33,0)))&gt;0),$E315+N(INDEX('Intervals'!$C$4:$C$33,MATCH($B315,'Intervals'!$A$4:$A$33,0))),""),""))</f>
        <v/>
      </c>
      <c r="G315" s="20">
        <f>IF(OR($B315="",$D315=""),"",IFERROR(IF(AND(INDEX('Intervals'!$G$4:$G$33,MATCH($B315,'Intervals'!$A$4:$A$33,0))&lt;&gt;"No",N(INDEX('Intervals'!$D$4:$D$33,MATCH($B315,'Intervals'!$A$4:$A$33,0)))&gt;0),EDATE($D315,N(INDEX('Intervals'!$D$4:$D$33,MATCH($B315,'Intervals'!$A$4:$A$33,0)))),""),""))</f>
        <v/>
      </c>
      <c r="H315" s="19">
        <f>IF($A315="","",IFERROR(IF(N(INDEX('Cars'!$H$4:$H$103,MATCH($A315,'Cars'!$A$4:$A$103,0)))&gt;0,INDEX('Cars'!$H$4:$H$103,MATCH($A315,'Cars'!$A$4:$A$103,0)),""),""))</f>
        <v/>
      </c>
      <c r="I315" s="19">
        <f>IF(OR($F315="",$H315=""),"",$F315-$H315)</f>
        <v/>
      </c>
      <c r="J315" s="21">
        <f>IF($G315="","",$G315-TODAY())</f>
        <v/>
      </c>
      <c r="K315" s="21">
        <f>IF($I315="","",IFERROR(IF(N(INDEX('Cars'!$J$4:$J$103,MATCH($A315,'Cars'!$A$4:$A$103,0)))&gt;0,ROUND($I315/INDEX('Cars'!$J$4:$J$103,MATCH($A315,'Cars'!$A$4:$A$103,0))*30,0),""),""))</f>
        <v/>
      </c>
      <c r="L315" s="21">
        <f>IF(AND($J315="",$K315=""),"",MIN(IF($J315="",99999,$J315),IF($K315="",99999,$K315)))</f>
        <v/>
      </c>
      <c r="M315" s="16">
        <f>IF(AND($I315="",$J315=""),"",IF(OR(AND($I315&lt;&gt;"",N($I315)&lt;0),AND($J315&lt;&gt;"",N($J315)&lt;0)),"Overdue",IF(OR(AND($I315&lt;&gt;"",N($I315)&lt;=IFERROR(INDEX('Intervals'!$E$4:$E$33,MATCH($B315,'Intervals'!$A$4:$A$33,0)),500)),AND($J315&lt;&gt;"",N($J315)&lt;=IFERROR(INDEX('Intervals'!$F$4:$F$33,MATCH($B315,'Intervals'!$A$4:$A$33,0)),14))),"Due soon","OK")))</f>
        <v/>
      </c>
      <c r="N315" s="15" t="n"/>
      <c r="O315" s="22">
        <f>IF(OR($M315="",$M315="OK"),"",$L315+ROW()/100000)</f>
        <v/>
      </c>
    </row>
    <row r="316">
      <c r="A316" s="15" t="n"/>
      <c r="B316" s="15" t="n"/>
      <c r="C316" s="16">
        <f>IF($B316="","",IFERROR(INDEX('Intervals'!$B$4:$B$33,MATCH($B316,'Intervals'!$A$4:$A$33,0)),""))</f>
        <v/>
      </c>
      <c r="D316" s="17" t="n"/>
      <c r="E316" s="18" t="n"/>
      <c r="F316" s="19">
        <f>IF(OR($B316="",$E316=""),"",IFERROR(IF(AND(INDEX('Intervals'!$G$4:$G$33,MATCH($B316,'Intervals'!$A$4:$A$33,0))&lt;&gt;"No",N(INDEX('Intervals'!$C$4:$C$33,MATCH($B316,'Intervals'!$A$4:$A$33,0)))&gt;0),$E316+N(INDEX('Intervals'!$C$4:$C$33,MATCH($B316,'Intervals'!$A$4:$A$33,0))),""),""))</f>
        <v/>
      </c>
      <c r="G316" s="20">
        <f>IF(OR($B316="",$D316=""),"",IFERROR(IF(AND(INDEX('Intervals'!$G$4:$G$33,MATCH($B316,'Intervals'!$A$4:$A$33,0))&lt;&gt;"No",N(INDEX('Intervals'!$D$4:$D$33,MATCH($B316,'Intervals'!$A$4:$A$33,0)))&gt;0),EDATE($D316,N(INDEX('Intervals'!$D$4:$D$33,MATCH($B316,'Intervals'!$A$4:$A$33,0)))),""),""))</f>
        <v/>
      </c>
      <c r="H316" s="19">
        <f>IF($A316="","",IFERROR(IF(N(INDEX('Cars'!$H$4:$H$103,MATCH($A316,'Cars'!$A$4:$A$103,0)))&gt;0,INDEX('Cars'!$H$4:$H$103,MATCH($A316,'Cars'!$A$4:$A$103,0)),""),""))</f>
        <v/>
      </c>
      <c r="I316" s="19">
        <f>IF(OR($F316="",$H316=""),"",$F316-$H316)</f>
        <v/>
      </c>
      <c r="J316" s="21">
        <f>IF($G316="","",$G316-TODAY())</f>
        <v/>
      </c>
      <c r="K316" s="21">
        <f>IF($I316="","",IFERROR(IF(N(INDEX('Cars'!$J$4:$J$103,MATCH($A316,'Cars'!$A$4:$A$103,0)))&gt;0,ROUND($I316/INDEX('Cars'!$J$4:$J$103,MATCH($A316,'Cars'!$A$4:$A$103,0))*30,0),""),""))</f>
        <v/>
      </c>
      <c r="L316" s="21">
        <f>IF(AND($J316="",$K316=""),"",MIN(IF($J316="",99999,$J316),IF($K316="",99999,$K316)))</f>
        <v/>
      </c>
      <c r="M316" s="16">
        <f>IF(AND($I316="",$J316=""),"",IF(OR(AND($I316&lt;&gt;"",N($I316)&lt;0),AND($J316&lt;&gt;"",N($J316)&lt;0)),"Overdue",IF(OR(AND($I316&lt;&gt;"",N($I316)&lt;=IFERROR(INDEX('Intervals'!$E$4:$E$33,MATCH($B316,'Intervals'!$A$4:$A$33,0)),500)),AND($J316&lt;&gt;"",N($J316)&lt;=IFERROR(INDEX('Intervals'!$F$4:$F$33,MATCH($B316,'Intervals'!$A$4:$A$33,0)),14))),"Due soon","OK")))</f>
        <v/>
      </c>
      <c r="N316" s="15" t="n"/>
      <c r="O316" s="22">
        <f>IF(OR($M316="",$M316="OK"),"",$L316+ROW()/100000)</f>
        <v/>
      </c>
    </row>
    <row r="317">
      <c r="A317" s="15" t="n"/>
      <c r="B317" s="15" t="n"/>
      <c r="C317" s="16">
        <f>IF($B317="","",IFERROR(INDEX('Intervals'!$B$4:$B$33,MATCH($B317,'Intervals'!$A$4:$A$33,0)),""))</f>
        <v/>
      </c>
      <c r="D317" s="17" t="n"/>
      <c r="E317" s="18" t="n"/>
      <c r="F317" s="19">
        <f>IF(OR($B317="",$E317=""),"",IFERROR(IF(AND(INDEX('Intervals'!$G$4:$G$33,MATCH($B317,'Intervals'!$A$4:$A$33,0))&lt;&gt;"No",N(INDEX('Intervals'!$C$4:$C$33,MATCH($B317,'Intervals'!$A$4:$A$33,0)))&gt;0),$E317+N(INDEX('Intervals'!$C$4:$C$33,MATCH($B317,'Intervals'!$A$4:$A$33,0))),""),""))</f>
        <v/>
      </c>
      <c r="G317" s="20">
        <f>IF(OR($B317="",$D317=""),"",IFERROR(IF(AND(INDEX('Intervals'!$G$4:$G$33,MATCH($B317,'Intervals'!$A$4:$A$33,0))&lt;&gt;"No",N(INDEX('Intervals'!$D$4:$D$33,MATCH($B317,'Intervals'!$A$4:$A$33,0)))&gt;0),EDATE($D317,N(INDEX('Intervals'!$D$4:$D$33,MATCH($B317,'Intervals'!$A$4:$A$33,0)))),""),""))</f>
        <v/>
      </c>
      <c r="H317" s="19">
        <f>IF($A317="","",IFERROR(IF(N(INDEX('Cars'!$H$4:$H$103,MATCH($A317,'Cars'!$A$4:$A$103,0)))&gt;0,INDEX('Cars'!$H$4:$H$103,MATCH($A317,'Cars'!$A$4:$A$103,0)),""),""))</f>
        <v/>
      </c>
      <c r="I317" s="19">
        <f>IF(OR($F317="",$H317=""),"",$F317-$H317)</f>
        <v/>
      </c>
      <c r="J317" s="21">
        <f>IF($G317="","",$G317-TODAY())</f>
        <v/>
      </c>
      <c r="K317" s="21">
        <f>IF($I317="","",IFERROR(IF(N(INDEX('Cars'!$J$4:$J$103,MATCH($A317,'Cars'!$A$4:$A$103,0)))&gt;0,ROUND($I317/INDEX('Cars'!$J$4:$J$103,MATCH($A317,'Cars'!$A$4:$A$103,0))*30,0),""),""))</f>
        <v/>
      </c>
      <c r="L317" s="21">
        <f>IF(AND($J317="",$K317=""),"",MIN(IF($J317="",99999,$J317),IF($K317="",99999,$K317)))</f>
        <v/>
      </c>
      <c r="M317" s="16">
        <f>IF(AND($I317="",$J317=""),"",IF(OR(AND($I317&lt;&gt;"",N($I317)&lt;0),AND($J317&lt;&gt;"",N($J317)&lt;0)),"Overdue",IF(OR(AND($I317&lt;&gt;"",N($I317)&lt;=IFERROR(INDEX('Intervals'!$E$4:$E$33,MATCH($B317,'Intervals'!$A$4:$A$33,0)),500)),AND($J317&lt;&gt;"",N($J317)&lt;=IFERROR(INDEX('Intervals'!$F$4:$F$33,MATCH($B317,'Intervals'!$A$4:$A$33,0)),14))),"Due soon","OK")))</f>
        <v/>
      </c>
      <c r="N317" s="15" t="n"/>
      <c r="O317" s="22">
        <f>IF(OR($M317="",$M317="OK"),"",$L317+ROW()/100000)</f>
        <v/>
      </c>
    </row>
    <row r="318">
      <c r="A318" s="15" t="n"/>
      <c r="B318" s="15" t="n"/>
      <c r="C318" s="16">
        <f>IF($B318="","",IFERROR(INDEX('Intervals'!$B$4:$B$33,MATCH($B318,'Intervals'!$A$4:$A$33,0)),""))</f>
        <v/>
      </c>
      <c r="D318" s="17" t="n"/>
      <c r="E318" s="18" t="n"/>
      <c r="F318" s="19">
        <f>IF(OR($B318="",$E318=""),"",IFERROR(IF(AND(INDEX('Intervals'!$G$4:$G$33,MATCH($B318,'Intervals'!$A$4:$A$33,0))&lt;&gt;"No",N(INDEX('Intervals'!$C$4:$C$33,MATCH($B318,'Intervals'!$A$4:$A$33,0)))&gt;0),$E318+N(INDEX('Intervals'!$C$4:$C$33,MATCH($B318,'Intervals'!$A$4:$A$33,0))),""),""))</f>
        <v/>
      </c>
      <c r="G318" s="20">
        <f>IF(OR($B318="",$D318=""),"",IFERROR(IF(AND(INDEX('Intervals'!$G$4:$G$33,MATCH($B318,'Intervals'!$A$4:$A$33,0))&lt;&gt;"No",N(INDEX('Intervals'!$D$4:$D$33,MATCH($B318,'Intervals'!$A$4:$A$33,0)))&gt;0),EDATE($D318,N(INDEX('Intervals'!$D$4:$D$33,MATCH($B318,'Intervals'!$A$4:$A$33,0)))),""),""))</f>
        <v/>
      </c>
      <c r="H318" s="19">
        <f>IF($A318="","",IFERROR(IF(N(INDEX('Cars'!$H$4:$H$103,MATCH($A318,'Cars'!$A$4:$A$103,0)))&gt;0,INDEX('Cars'!$H$4:$H$103,MATCH($A318,'Cars'!$A$4:$A$103,0)),""),""))</f>
        <v/>
      </c>
      <c r="I318" s="19">
        <f>IF(OR($F318="",$H318=""),"",$F318-$H318)</f>
        <v/>
      </c>
      <c r="J318" s="21">
        <f>IF($G318="","",$G318-TODAY())</f>
        <v/>
      </c>
      <c r="K318" s="21">
        <f>IF($I318="","",IFERROR(IF(N(INDEX('Cars'!$J$4:$J$103,MATCH($A318,'Cars'!$A$4:$A$103,0)))&gt;0,ROUND($I318/INDEX('Cars'!$J$4:$J$103,MATCH($A318,'Cars'!$A$4:$A$103,0))*30,0),""),""))</f>
        <v/>
      </c>
      <c r="L318" s="21">
        <f>IF(AND($J318="",$K318=""),"",MIN(IF($J318="",99999,$J318),IF($K318="",99999,$K318)))</f>
        <v/>
      </c>
      <c r="M318" s="16">
        <f>IF(AND($I318="",$J318=""),"",IF(OR(AND($I318&lt;&gt;"",N($I318)&lt;0),AND($J318&lt;&gt;"",N($J318)&lt;0)),"Overdue",IF(OR(AND($I318&lt;&gt;"",N($I318)&lt;=IFERROR(INDEX('Intervals'!$E$4:$E$33,MATCH($B318,'Intervals'!$A$4:$A$33,0)),500)),AND($J318&lt;&gt;"",N($J318)&lt;=IFERROR(INDEX('Intervals'!$F$4:$F$33,MATCH($B318,'Intervals'!$A$4:$A$33,0)),14))),"Due soon","OK")))</f>
        <v/>
      </c>
      <c r="N318" s="15" t="n"/>
      <c r="O318" s="22">
        <f>IF(OR($M318="",$M318="OK"),"",$L318+ROW()/100000)</f>
        <v/>
      </c>
    </row>
    <row r="319">
      <c r="A319" s="15" t="n"/>
      <c r="B319" s="15" t="n"/>
      <c r="C319" s="16">
        <f>IF($B319="","",IFERROR(INDEX('Intervals'!$B$4:$B$33,MATCH($B319,'Intervals'!$A$4:$A$33,0)),""))</f>
        <v/>
      </c>
      <c r="D319" s="17" t="n"/>
      <c r="E319" s="18" t="n"/>
      <c r="F319" s="19">
        <f>IF(OR($B319="",$E319=""),"",IFERROR(IF(AND(INDEX('Intervals'!$G$4:$G$33,MATCH($B319,'Intervals'!$A$4:$A$33,0))&lt;&gt;"No",N(INDEX('Intervals'!$C$4:$C$33,MATCH($B319,'Intervals'!$A$4:$A$33,0)))&gt;0),$E319+N(INDEX('Intervals'!$C$4:$C$33,MATCH($B319,'Intervals'!$A$4:$A$33,0))),""),""))</f>
        <v/>
      </c>
      <c r="G319" s="20">
        <f>IF(OR($B319="",$D319=""),"",IFERROR(IF(AND(INDEX('Intervals'!$G$4:$G$33,MATCH($B319,'Intervals'!$A$4:$A$33,0))&lt;&gt;"No",N(INDEX('Intervals'!$D$4:$D$33,MATCH($B319,'Intervals'!$A$4:$A$33,0)))&gt;0),EDATE($D319,N(INDEX('Intervals'!$D$4:$D$33,MATCH($B319,'Intervals'!$A$4:$A$33,0)))),""),""))</f>
        <v/>
      </c>
      <c r="H319" s="19">
        <f>IF($A319="","",IFERROR(IF(N(INDEX('Cars'!$H$4:$H$103,MATCH($A319,'Cars'!$A$4:$A$103,0)))&gt;0,INDEX('Cars'!$H$4:$H$103,MATCH($A319,'Cars'!$A$4:$A$103,0)),""),""))</f>
        <v/>
      </c>
      <c r="I319" s="19">
        <f>IF(OR($F319="",$H319=""),"",$F319-$H319)</f>
        <v/>
      </c>
      <c r="J319" s="21">
        <f>IF($G319="","",$G319-TODAY())</f>
        <v/>
      </c>
      <c r="K319" s="21">
        <f>IF($I319="","",IFERROR(IF(N(INDEX('Cars'!$J$4:$J$103,MATCH($A319,'Cars'!$A$4:$A$103,0)))&gt;0,ROUND($I319/INDEX('Cars'!$J$4:$J$103,MATCH($A319,'Cars'!$A$4:$A$103,0))*30,0),""),""))</f>
        <v/>
      </c>
      <c r="L319" s="21">
        <f>IF(AND($J319="",$K319=""),"",MIN(IF($J319="",99999,$J319),IF($K319="",99999,$K319)))</f>
        <v/>
      </c>
      <c r="M319" s="16">
        <f>IF(AND($I319="",$J319=""),"",IF(OR(AND($I319&lt;&gt;"",N($I319)&lt;0),AND($J319&lt;&gt;"",N($J319)&lt;0)),"Overdue",IF(OR(AND($I319&lt;&gt;"",N($I319)&lt;=IFERROR(INDEX('Intervals'!$E$4:$E$33,MATCH($B319,'Intervals'!$A$4:$A$33,0)),500)),AND($J319&lt;&gt;"",N($J319)&lt;=IFERROR(INDEX('Intervals'!$F$4:$F$33,MATCH($B319,'Intervals'!$A$4:$A$33,0)),14))),"Due soon","OK")))</f>
        <v/>
      </c>
      <c r="N319" s="15" t="n"/>
      <c r="O319" s="22">
        <f>IF(OR($M319="",$M319="OK"),"",$L319+ROW()/100000)</f>
        <v/>
      </c>
    </row>
    <row r="320">
      <c r="A320" s="15" t="n"/>
      <c r="B320" s="15" t="n"/>
      <c r="C320" s="16">
        <f>IF($B320="","",IFERROR(INDEX('Intervals'!$B$4:$B$33,MATCH($B320,'Intervals'!$A$4:$A$33,0)),""))</f>
        <v/>
      </c>
      <c r="D320" s="17" t="n"/>
      <c r="E320" s="18" t="n"/>
      <c r="F320" s="19">
        <f>IF(OR($B320="",$E320=""),"",IFERROR(IF(AND(INDEX('Intervals'!$G$4:$G$33,MATCH($B320,'Intervals'!$A$4:$A$33,0))&lt;&gt;"No",N(INDEX('Intervals'!$C$4:$C$33,MATCH($B320,'Intervals'!$A$4:$A$33,0)))&gt;0),$E320+N(INDEX('Intervals'!$C$4:$C$33,MATCH($B320,'Intervals'!$A$4:$A$33,0))),""),""))</f>
        <v/>
      </c>
      <c r="G320" s="20">
        <f>IF(OR($B320="",$D320=""),"",IFERROR(IF(AND(INDEX('Intervals'!$G$4:$G$33,MATCH($B320,'Intervals'!$A$4:$A$33,0))&lt;&gt;"No",N(INDEX('Intervals'!$D$4:$D$33,MATCH($B320,'Intervals'!$A$4:$A$33,0)))&gt;0),EDATE($D320,N(INDEX('Intervals'!$D$4:$D$33,MATCH($B320,'Intervals'!$A$4:$A$33,0)))),""),""))</f>
        <v/>
      </c>
      <c r="H320" s="19">
        <f>IF($A320="","",IFERROR(IF(N(INDEX('Cars'!$H$4:$H$103,MATCH($A320,'Cars'!$A$4:$A$103,0)))&gt;0,INDEX('Cars'!$H$4:$H$103,MATCH($A320,'Cars'!$A$4:$A$103,0)),""),""))</f>
        <v/>
      </c>
      <c r="I320" s="19">
        <f>IF(OR($F320="",$H320=""),"",$F320-$H320)</f>
        <v/>
      </c>
      <c r="J320" s="21">
        <f>IF($G320="","",$G320-TODAY())</f>
        <v/>
      </c>
      <c r="K320" s="21">
        <f>IF($I320="","",IFERROR(IF(N(INDEX('Cars'!$J$4:$J$103,MATCH($A320,'Cars'!$A$4:$A$103,0)))&gt;0,ROUND($I320/INDEX('Cars'!$J$4:$J$103,MATCH($A320,'Cars'!$A$4:$A$103,0))*30,0),""),""))</f>
        <v/>
      </c>
      <c r="L320" s="21">
        <f>IF(AND($J320="",$K320=""),"",MIN(IF($J320="",99999,$J320),IF($K320="",99999,$K320)))</f>
        <v/>
      </c>
      <c r="M320" s="16">
        <f>IF(AND($I320="",$J320=""),"",IF(OR(AND($I320&lt;&gt;"",N($I320)&lt;0),AND($J320&lt;&gt;"",N($J320)&lt;0)),"Overdue",IF(OR(AND($I320&lt;&gt;"",N($I320)&lt;=IFERROR(INDEX('Intervals'!$E$4:$E$33,MATCH($B320,'Intervals'!$A$4:$A$33,0)),500)),AND($J320&lt;&gt;"",N($J320)&lt;=IFERROR(INDEX('Intervals'!$F$4:$F$33,MATCH($B320,'Intervals'!$A$4:$A$33,0)),14))),"Due soon","OK")))</f>
        <v/>
      </c>
      <c r="N320" s="15" t="n"/>
      <c r="O320" s="22">
        <f>IF(OR($M320="",$M320="OK"),"",$L320+ROW()/100000)</f>
        <v/>
      </c>
    </row>
    <row r="321">
      <c r="A321" s="15" t="n"/>
      <c r="B321" s="15" t="n"/>
      <c r="C321" s="16">
        <f>IF($B321="","",IFERROR(INDEX('Intervals'!$B$4:$B$33,MATCH($B321,'Intervals'!$A$4:$A$33,0)),""))</f>
        <v/>
      </c>
      <c r="D321" s="17" t="n"/>
      <c r="E321" s="18" t="n"/>
      <c r="F321" s="19">
        <f>IF(OR($B321="",$E321=""),"",IFERROR(IF(AND(INDEX('Intervals'!$G$4:$G$33,MATCH($B321,'Intervals'!$A$4:$A$33,0))&lt;&gt;"No",N(INDEX('Intervals'!$C$4:$C$33,MATCH($B321,'Intervals'!$A$4:$A$33,0)))&gt;0),$E321+N(INDEX('Intervals'!$C$4:$C$33,MATCH($B321,'Intervals'!$A$4:$A$33,0))),""),""))</f>
        <v/>
      </c>
      <c r="G321" s="20">
        <f>IF(OR($B321="",$D321=""),"",IFERROR(IF(AND(INDEX('Intervals'!$G$4:$G$33,MATCH($B321,'Intervals'!$A$4:$A$33,0))&lt;&gt;"No",N(INDEX('Intervals'!$D$4:$D$33,MATCH($B321,'Intervals'!$A$4:$A$33,0)))&gt;0),EDATE($D321,N(INDEX('Intervals'!$D$4:$D$33,MATCH($B321,'Intervals'!$A$4:$A$33,0)))),""),""))</f>
        <v/>
      </c>
      <c r="H321" s="19">
        <f>IF($A321="","",IFERROR(IF(N(INDEX('Cars'!$H$4:$H$103,MATCH($A321,'Cars'!$A$4:$A$103,0)))&gt;0,INDEX('Cars'!$H$4:$H$103,MATCH($A321,'Cars'!$A$4:$A$103,0)),""),""))</f>
        <v/>
      </c>
      <c r="I321" s="19">
        <f>IF(OR($F321="",$H321=""),"",$F321-$H321)</f>
        <v/>
      </c>
      <c r="J321" s="21">
        <f>IF($G321="","",$G321-TODAY())</f>
        <v/>
      </c>
      <c r="K321" s="21">
        <f>IF($I321="","",IFERROR(IF(N(INDEX('Cars'!$J$4:$J$103,MATCH($A321,'Cars'!$A$4:$A$103,0)))&gt;0,ROUND($I321/INDEX('Cars'!$J$4:$J$103,MATCH($A321,'Cars'!$A$4:$A$103,0))*30,0),""),""))</f>
        <v/>
      </c>
      <c r="L321" s="21">
        <f>IF(AND($J321="",$K321=""),"",MIN(IF($J321="",99999,$J321),IF($K321="",99999,$K321)))</f>
        <v/>
      </c>
      <c r="M321" s="16">
        <f>IF(AND($I321="",$J321=""),"",IF(OR(AND($I321&lt;&gt;"",N($I321)&lt;0),AND($J321&lt;&gt;"",N($J321)&lt;0)),"Overdue",IF(OR(AND($I321&lt;&gt;"",N($I321)&lt;=IFERROR(INDEX('Intervals'!$E$4:$E$33,MATCH($B321,'Intervals'!$A$4:$A$33,0)),500)),AND($J321&lt;&gt;"",N($J321)&lt;=IFERROR(INDEX('Intervals'!$F$4:$F$33,MATCH($B321,'Intervals'!$A$4:$A$33,0)),14))),"Due soon","OK")))</f>
        <v/>
      </c>
      <c r="N321" s="15" t="n"/>
      <c r="O321" s="22">
        <f>IF(OR($M321="",$M321="OK"),"",$L321+ROW()/100000)</f>
        <v/>
      </c>
    </row>
    <row r="322">
      <c r="A322" s="15" t="n"/>
      <c r="B322" s="15" t="n"/>
      <c r="C322" s="16">
        <f>IF($B322="","",IFERROR(INDEX('Intervals'!$B$4:$B$33,MATCH($B322,'Intervals'!$A$4:$A$33,0)),""))</f>
        <v/>
      </c>
      <c r="D322" s="17" t="n"/>
      <c r="E322" s="18" t="n"/>
      <c r="F322" s="19">
        <f>IF(OR($B322="",$E322=""),"",IFERROR(IF(AND(INDEX('Intervals'!$G$4:$G$33,MATCH($B322,'Intervals'!$A$4:$A$33,0))&lt;&gt;"No",N(INDEX('Intervals'!$C$4:$C$33,MATCH($B322,'Intervals'!$A$4:$A$33,0)))&gt;0),$E322+N(INDEX('Intervals'!$C$4:$C$33,MATCH($B322,'Intervals'!$A$4:$A$33,0))),""),""))</f>
        <v/>
      </c>
      <c r="G322" s="20">
        <f>IF(OR($B322="",$D322=""),"",IFERROR(IF(AND(INDEX('Intervals'!$G$4:$G$33,MATCH($B322,'Intervals'!$A$4:$A$33,0))&lt;&gt;"No",N(INDEX('Intervals'!$D$4:$D$33,MATCH($B322,'Intervals'!$A$4:$A$33,0)))&gt;0),EDATE($D322,N(INDEX('Intervals'!$D$4:$D$33,MATCH($B322,'Intervals'!$A$4:$A$33,0)))),""),""))</f>
        <v/>
      </c>
      <c r="H322" s="19">
        <f>IF($A322="","",IFERROR(IF(N(INDEX('Cars'!$H$4:$H$103,MATCH($A322,'Cars'!$A$4:$A$103,0)))&gt;0,INDEX('Cars'!$H$4:$H$103,MATCH($A322,'Cars'!$A$4:$A$103,0)),""),""))</f>
        <v/>
      </c>
      <c r="I322" s="19">
        <f>IF(OR($F322="",$H322=""),"",$F322-$H322)</f>
        <v/>
      </c>
      <c r="J322" s="21">
        <f>IF($G322="","",$G322-TODAY())</f>
        <v/>
      </c>
      <c r="K322" s="21">
        <f>IF($I322="","",IFERROR(IF(N(INDEX('Cars'!$J$4:$J$103,MATCH($A322,'Cars'!$A$4:$A$103,0)))&gt;0,ROUND($I322/INDEX('Cars'!$J$4:$J$103,MATCH($A322,'Cars'!$A$4:$A$103,0))*30,0),""),""))</f>
        <v/>
      </c>
      <c r="L322" s="21">
        <f>IF(AND($J322="",$K322=""),"",MIN(IF($J322="",99999,$J322),IF($K322="",99999,$K322)))</f>
        <v/>
      </c>
      <c r="M322" s="16">
        <f>IF(AND($I322="",$J322=""),"",IF(OR(AND($I322&lt;&gt;"",N($I322)&lt;0),AND($J322&lt;&gt;"",N($J322)&lt;0)),"Overdue",IF(OR(AND($I322&lt;&gt;"",N($I322)&lt;=IFERROR(INDEX('Intervals'!$E$4:$E$33,MATCH($B322,'Intervals'!$A$4:$A$33,0)),500)),AND($J322&lt;&gt;"",N($J322)&lt;=IFERROR(INDEX('Intervals'!$F$4:$F$33,MATCH($B322,'Intervals'!$A$4:$A$33,0)),14))),"Due soon","OK")))</f>
        <v/>
      </c>
      <c r="N322" s="15" t="n"/>
      <c r="O322" s="22">
        <f>IF(OR($M322="",$M322="OK"),"",$L322+ROW()/100000)</f>
        <v/>
      </c>
    </row>
    <row r="323">
      <c r="A323" s="15" t="n"/>
      <c r="B323" s="15" t="n"/>
      <c r="C323" s="16">
        <f>IF($B323="","",IFERROR(INDEX('Intervals'!$B$4:$B$33,MATCH($B323,'Intervals'!$A$4:$A$33,0)),""))</f>
        <v/>
      </c>
      <c r="D323" s="17" t="n"/>
      <c r="E323" s="18" t="n"/>
      <c r="F323" s="19">
        <f>IF(OR($B323="",$E323=""),"",IFERROR(IF(AND(INDEX('Intervals'!$G$4:$G$33,MATCH($B323,'Intervals'!$A$4:$A$33,0))&lt;&gt;"No",N(INDEX('Intervals'!$C$4:$C$33,MATCH($B323,'Intervals'!$A$4:$A$33,0)))&gt;0),$E323+N(INDEX('Intervals'!$C$4:$C$33,MATCH($B323,'Intervals'!$A$4:$A$33,0))),""),""))</f>
        <v/>
      </c>
      <c r="G323" s="20">
        <f>IF(OR($B323="",$D323=""),"",IFERROR(IF(AND(INDEX('Intervals'!$G$4:$G$33,MATCH($B323,'Intervals'!$A$4:$A$33,0))&lt;&gt;"No",N(INDEX('Intervals'!$D$4:$D$33,MATCH($B323,'Intervals'!$A$4:$A$33,0)))&gt;0),EDATE($D323,N(INDEX('Intervals'!$D$4:$D$33,MATCH($B323,'Intervals'!$A$4:$A$33,0)))),""),""))</f>
        <v/>
      </c>
      <c r="H323" s="19">
        <f>IF($A323="","",IFERROR(IF(N(INDEX('Cars'!$H$4:$H$103,MATCH($A323,'Cars'!$A$4:$A$103,0)))&gt;0,INDEX('Cars'!$H$4:$H$103,MATCH($A323,'Cars'!$A$4:$A$103,0)),""),""))</f>
        <v/>
      </c>
      <c r="I323" s="19">
        <f>IF(OR($F323="",$H323=""),"",$F323-$H323)</f>
        <v/>
      </c>
      <c r="J323" s="21">
        <f>IF($G323="","",$G323-TODAY())</f>
        <v/>
      </c>
      <c r="K323" s="21">
        <f>IF($I323="","",IFERROR(IF(N(INDEX('Cars'!$J$4:$J$103,MATCH($A323,'Cars'!$A$4:$A$103,0)))&gt;0,ROUND($I323/INDEX('Cars'!$J$4:$J$103,MATCH($A323,'Cars'!$A$4:$A$103,0))*30,0),""),""))</f>
        <v/>
      </c>
      <c r="L323" s="21">
        <f>IF(AND($J323="",$K323=""),"",MIN(IF($J323="",99999,$J323),IF($K323="",99999,$K323)))</f>
        <v/>
      </c>
      <c r="M323" s="16">
        <f>IF(AND($I323="",$J323=""),"",IF(OR(AND($I323&lt;&gt;"",N($I323)&lt;0),AND($J323&lt;&gt;"",N($J323)&lt;0)),"Overdue",IF(OR(AND($I323&lt;&gt;"",N($I323)&lt;=IFERROR(INDEX('Intervals'!$E$4:$E$33,MATCH($B323,'Intervals'!$A$4:$A$33,0)),500)),AND($J323&lt;&gt;"",N($J323)&lt;=IFERROR(INDEX('Intervals'!$F$4:$F$33,MATCH($B323,'Intervals'!$A$4:$A$33,0)),14))),"Due soon","OK")))</f>
        <v/>
      </c>
      <c r="N323" s="15" t="n"/>
      <c r="O323" s="22">
        <f>IF(OR($M323="",$M323="OK"),"",$L323+ROW()/100000)</f>
        <v/>
      </c>
    </row>
    <row r="324">
      <c r="A324" s="15" t="n"/>
      <c r="B324" s="15" t="n"/>
      <c r="C324" s="16">
        <f>IF($B324="","",IFERROR(INDEX('Intervals'!$B$4:$B$33,MATCH($B324,'Intervals'!$A$4:$A$33,0)),""))</f>
        <v/>
      </c>
      <c r="D324" s="17" t="n"/>
      <c r="E324" s="18" t="n"/>
      <c r="F324" s="19">
        <f>IF(OR($B324="",$E324=""),"",IFERROR(IF(AND(INDEX('Intervals'!$G$4:$G$33,MATCH($B324,'Intervals'!$A$4:$A$33,0))&lt;&gt;"No",N(INDEX('Intervals'!$C$4:$C$33,MATCH($B324,'Intervals'!$A$4:$A$33,0)))&gt;0),$E324+N(INDEX('Intervals'!$C$4:$C$33,MATCH($B324,'Intervals'!$A$4:$A$33,0))),""),""))</f>
        <v/>
      </c>
      <c r="G324" s="20">
        <f>IF(OR($B324="",$D324=""),"",IFERROR(IF(AND(INDEX('Intervals'!$G$4:$G$33,MATCH($B324,'Intervals'!$A$4:$A$33,0))&lt;&gt;"No",N(INDEX('Intervals'!$D$4:$D$33,MATCH($B324,'Intervals'!$A$4:$A$33,0)))&gt;0),EDATE($D324,N(INDEX('Intervals'!$D$4:$D$33,MATCH($B324,'Intervals'!$A$4:$A$33,0)))),""),""))</f>
        <v/>
      </c>
      <c r="H324" s="19">
        <f>IF($A324="","",IFERROR(IF(N(INDEX('Cars'!$H$4:$H$103,MATCH($A324,'Cars'!$A$4:$A$103,0)))&gt;0,INDEX('Cars'!$H$4:$H$103,MATCH($A324,'Cars'!$A$4:$A$103,0)),""),""))</f>
        <v/>
      </c>
      <c r="I324" s="19">
        <f>IF(OR($F324="",$H324=""),"",$F324-$H324)</f>
        <v/>
      </c>
      <c r="J324" s="21">
        <f>IF($G324="","",$G324-TODAY())</f>
        <v/>
      </c>
      <c r="K324" s="21">
        <f>IF($I324="","",IFERROR(IF(N(INDEX('Cars'!$J$4:$J$103,MATCH($A324,'Cars'!$A$4:$A$103,0)))&gt;0,ROUND($I324/INDEX('Cars'!$J$4:$J$103,MATCH($A324,'Cars'!$A$4:$A$103,0))*30,0),""),""))</f>
        <v/>
      </c>
      <c r="L324" s="21">
        <f>IF(AND($J324="",$K324=""),"",MIN(IF($J324="",99999,$J324),IF($K324="",99999,$K324)))</f>
        <v/>
      </c>
      <c r="M324" s="16">
        <f>IF(AND($I324="",$J324=""),"",IF(OR(AND($I324&lt;&gt;"",N($I324)&lt;0),AND($J324&lt;&gt;"",N($J324)&lt;0)),"Overdue",IF(OR(AND($I324&lt;&gt;"",N($I324)&lt;=IFERROR(INDEX('Intervals'!$E$4:$E$33,MATCH($B324,'Intervals'!$A$4:$A$33,0)),500)),AND($J324&lt;&gt;"",N($J324)&lt;=IFERROR(INDEX('Intervals'!$F$4:$F$33,MATCH($B324,'Intervals'!$A$4:$A$33,0)),14))),"Due soon","OK")))</f>
        <v/>
      </c>
      <c r="N324" s="15" t="n"/>
      <c r="O324" s="22">
        <f>IF(OR($M324="",$M324="OK"),"",$L324+ROW()/100000)</f>
        <v/>
      </c>
    </row>
    <row r="325">
      <c r="A325" s="15" t="n"/>
      <c r="B325" s="15" t="n"/>
      <c r="C325" s="16">
        <f>IF($B325="","",IFERROR(INDEX('Intervals'!$B$4:$B$33,MATCH($B325,'Intervals'!$A$4:$A$33,0)),""))</f>
        <v/>
      </c>
      <c r="D325" s="17" t="n"/>
      <c r="E325" s="18" t="n"/>
      <c r="F325" s="19">
        <f>IF(OR($B325="",$E325=""),"",IFERROR(IF(AND(INDEX('Intervals'!$G$4:$G$33,MATCH($B325,'Intervals'!$A$4:$A$33,0))&lt;&gt;"No",N(INDEX('Intervals'!$C$4:$C$33,MATCH($B325,'Intervals'!$A$4:$A$33,0)))&gt;0),$E325+N(INDEX('Intervals'!$C$4:$C$33,MATCH($B325,'Intervals'!$A$4:$A$33,0))),""),""))</f>
        <v/>
      </c>
      <c r="G325" s="20">
        <f>IF(OR($B325="",$D325=""),"",IFERROR(IF(AND(INDEX('Intervals'!$G$4:$G$33,MATCH($B325,'Intervals'!$A$4:$A$33,0))&lt;&gt;"No",N(INDEX('Intervals'!$D$4:$D$33,MATCH($B325,'Intervals'!$A$4:$A$33,0)))&gt;0),EDATE($D325,N(INDEX('Intervals'!$D$4:$D$33,MATCH($B325,'Intervals'!$A$4:$A$33,0)))),""),""))</f>
        <v/>
      </c>
      <c r="H325" s="19">
        <f>IF($A325="","",IFERROR(IF(N(INDEX('Cars'!$H$4:$H$103,MATCH($A325,'Cars'!$A$4:$A$103,0)))&gt;0,INDEX('Cars'!$H$4:$H$103,MATCH($A325,'Cars'!$A$4:$A$103,0)),""),""))</f>
        <v/>
      </c>
      <c r="I325" s="19">
        <f>IF(OR($F325="",$H325=""),"",$F325-$H325)</f>
        <v/>
      </c>
      <c r="J325" s="21">
        <f>IF($G325="","",$G325-TODAY())</f>
        <v/>
      </c>
      <c r="K325" s="21">
        <f>IF($I325="","",IFERROR(IF(N(INDEX('Cars'!$J$4:$J$103,MATCH($A325,'Cars'!$A$4:$A$103,0)))&gt;0,ROUND($I325/INDEX('Cars'!$J$4:$J$103,MATCH($A325,'Cars'!$A$4:$A$103,0))*30,0),""),""))</f>
        <v/>
      </c>
      <c r="L325" s="21">
        <f>IF(AND($J325="",$K325=""),"",MIN(IF($J325="",99999,$J325),IF($K325="",99999,$K325)))</f>
        <v/>
      </c>
      <c r="M325" s="16">
        <f>IF(AND($I325="",$J325=""),"",IF(OR(AND($I325&lt;&gt;"",N($I325)&lt;0),AND($J325&lt;&gt;"",N($J325)&lt;0)),"Overdue",IF(OR(AND($I325&lt;&gt;"",N($I325)&lt;=IFERROR(INDEX('Intervals'!$E$4:$E$33,MATCH($B325,'Intervals'!$A$4:$A$33,0)),500)),AND($J325&lt;&gt;"",N($J325)&lt;=IFERROR(INDEX('Intervals'!$F$4:$F$33,MATCH($B325,'Intervals'!$A$4:$A$33,0)),14))),"Due soon","OK")))</f>
        <v/>
      </c>
      <c r="N325" s="15" t="n"/>
      <c r="O325" s="22">
        <f>IF(OR($M325="",$M325="OK"),"",$L325+ROW()/100000)</f>
        <v/>
      </c>
    </row>
    <row r="326">
      <c r="A326" s="15" t="n"/>
      <c r="B326" s="15" t="n"/>
      <c r="C326" s="16">
        <f>IF($B326="","",IFERROR(INDEX('Intervals'!$B$4:$B$33,MATCH($B326,'Intervals'!$A$4:$A$33,0)),""))</f>
        <v/>
      </c>
      <c r="D326" s="17" t="n"/>
      <c r="E326" s="18" t="n"/>
      <c r="F326" s="19">
        <f>IF(OR($B326="",$E326=""),"",IFERROR(IF(AND(INDEX('Intervals'!$G$4:$G$33,MATCH($B326,'Intervals'!$A$4:$A$33,0))&lt;&gt;"No",N(INDEX('Intervals'!$C$4:$C$33,MATCH($B326,'Intervals'!$A$4:$A$33,0)))&gt;0),$E326+N(INDEX('Intervals'!$C$4:$C$33,MATCH($B326,'Intervals'!$A$4:$A$33,0))),""),""))</f>
        <v/>
      </c>
      <c r="G326" s="20">
        <f>IF(OR($B326="",$D326=""),"",IFERROR(IF(AND(INDEX('Intervals'!$G$4:$G$33,MATCH($B326,'Intervals'!$A$4:$A$33,0))&lt;&gt;"No",N(INDEX('Intervals'!$D$4:$D$33,MATCH($B326,'Intervals'!$A$4:$A$33,0)))&gt;0),EDATE($D326,N(INDEX('Intervals'!$D$4:$D$33,MATCH($B326,'Intervals'!$A$4:$A$33,0)))),""),""))</f>
        <v/>
      </c>
      <c r="H326" s="19">
        <f>IF($A326="","",IFERROR(IF(N(INDEX('Cars'!$H$4:$H$103,MATCH($A326,'Cars'!$A$4:$A$103,0)))&gt;0,INDEX('Cars'!$H$4:$H$103,MATCH($A326,'Cars'!$A$4:$A$103,0)),""),""))</f>
        <v/>
      </c>
      <c r="I326" s="19">
        <f>IF(OR($F326="",$H326=""),"",$F326-$H326)</f>
        <v/>
      </c>
      <c r="J326" s="21">
        <f>IF($G326="","",$G326-TODAY())</f>
        <v/>
      </c>
      <c r="K326" s="21">
        <f>IF($I326="","",IFERROR(IF(N(INDEX('Cars'!$J$4:$J$103,MATCH($A326,'Cars'!$A$4:$A$103,0)))&gt;0,ROUND($I326/INDEX('Cars'!$J$4:$J$103,MATCH($A326,'Cars'!$A$4:$A$103,0))*30,0),""),""))</f>
        <v/>
      </c>
      <c r="L326" s="21">
        <f>IF(AND($J326="",$K326=""),"",MIN(IF($J326="",99999,$J326),IF($K326="",99999,$K326)))</f>
        <v/>
      </c>
      <c r="M326" s="16">
        <f>IF(AND($I326="",$J326=""),"",IF(OR(AND($I326&lt;&gt;"",N($I326)&lt;0),AND($J326&lt;&gt;"",N($J326)&lt;0)),"Overdue",IF(OR(AND($I326&lt;&gt;"",N($I326)&lt;=IFERROR(INDEX('Intervals'!$E$4:$E$33,MATCH($B326,'Intervals'!$A$4:$A$33,0)),500)),AND($J326&lt;&gt;"",N($J326)&lt;=IFERROR(INDEX('Intervals'!$F$4:$F$33,MATCH($B326,'Intervals'!$A$4:$A$33,0)),14))),"Due soon","OK")))</f>
        <v/>
      </c>
      <c r="N326" s="15" t="n"/>
      <c r="O326" s="22">
        <f>IF(OR($M326="",$M326="OK"),"",$L326+ROW()/100000)</f>
        <v/>
      </c>
    </row>
    <row r="327">
      <c r="A327" s="15" t="n"/>
      <c r="B327" s="15" t="n"/>
      <c r="C327" s="16">
        <f>IF($B327="","",IFERROR(INDEX('Intervals'!$B$4:$B$33,MATCH($B327,'Intervals'!$A$4:$A$33,0)),""))</f>
        <v/>
      </c>
      <c r="D327" s="17" t="n"/>
      <c r="E327" s="18" t="n"/>
      <c r="F327" s="19">
        <f>IF(OR($B327="",$E327=""),"",IFERROR(IF(AND(INDEX('Intervals'!$G$4:$G$33,MATCH($B327,'Intervals'!$A$4:$A$33,0))&lt;&gt;"No",N(INDEX('Intervals'!$C$4:$C$33,MATCH($B327,'Intervals'!$A$4:$A$33,0)))&gt;0),$E327+N(INDEX('Intervals'!$C$4:$C$33,MATCH($B327,'Intervals'!$A$4:$A$33,0))),""),""))</f>
        <v/>
      </c>
      <c r="G327" s="20">
        <f>IF(OR($B327="",$D327=""),"",IFERROR(IF(AND(INDEX('Intervals'!$G$4:$G$33,MATCH($B327,'Intervals'!$A$4:$A$33,0))&lt;&gt;"No",N(INDEX('Intervals'!$D$4:$D$33,MATCH($B327,'Intervals'!$A$4:$A$33,0)))&gt;0),EDATE($D327,N(INDEX('Intervals'!$D$4:$D$33,MATCH($B327,'Intervals'!$A$4:$A$33,0)))),""),""))</f>
        <v/>
      </c>
      <c r="H327" s="19">
        <f>IF($A327="","",IFERROR(IF(N(INDEX('Cars'!$H$4:$H$103,MATCH($A327,'Cars'!$A$4:$A$103,0)))&gt;0,INDEX('Cars'!$H$4:$H$103,MATCH($A327,'Cars'!$A$4:$A$103,0)),""),""))</f>
        <v/>
      </c>
      <c r="I327" s="19">
        <f>IF(OR($F327="",$H327=""),"",$F327-$H327)</f>
        <v/>
      </c>
      <c r="J327" s="21">
        <f>IF($G327="","",$G327-TODAY())</f>
        <v/>
      </c>
      <c r="K327" s="21">
        <f>IF($I327="","",IFERROR(IF(N(INDEX('Cars'!$J$4:$J$103,MATCH($A327,'Cars'!$A$4:$A$103,0)))&gt;0,ROUND($I327/INDEX('Cars'!$J$4:$J$103,MATCH($A327,'Cars'!$A$4:$A$103,0))*30,0),""),""))</f>
        <v/>
      </c>
      <c r="L327" s="21">
        <f>IF(AND($J327="",$K327=""),"",MIN(IF($J327="",99999,$J327),IF($K327="",99999,$K327)))</f>
        <v/>
      </c>
      <c r="M327" s="16">
        <f>IF(AND($I327="",$J327=""),"",IF(OR(AND($I327&lt;&gt;"",N($I327)&lt;0),AND($J327&lt;&gt;"",N($J327)&lt;0)),"Overdue",IF(OR(AND($I327&lt;&gt;"",N($I327)&lt;=IFERROR(INDEX('Intervals'!$E$4:$E$33,MATCH($B327,'Intervals'!$A$4:$A$33,0)),500)),AND($J327&lt;&gt;"",N($J327)&lt;=IFERROR(INDEX('Intervals'!$F$4:$F$33,MATCH($B327,'Intervals'!$A$4:$A$33,0)),14))),"Due soon","OK")))</f>
        <v/>
      </c>
      <c r="N327" s="15" t="n"/>
      <c r="O327" s="22">
        <f>IF(OR($M327="",$M327="OK"),"",$L327+ROW()/100000)</f>
        <v/>
      </c>
    </row>
    <row r="328">
      <c r="A328" s="15" t="n"/>
      <c r="B328" s="15" t="n"/>
      <c r="C328" s="16">
        <f>IF($B328="","",IFERROR(INDEX('Intervals'!$B$4:$B$33,MATCH($B328,'Intervals'!$A$4:$A$33,0)),""))</f>
        <v/>
      </c>
      <c r="D328" s="17" t="n"/>
      <c r="E328" s="18" t="n"/>
      <c r="F328" s="19">
        <f>IF(OR($B328="",$E328=""),"",IFERROR(IF(AND(INDEX('Intervals'!$G$4:$G$33,MATCH($B328,'Intervals'!$A$4:$A$33,0))&lt;&gt;"No",N(INDEX('Intervals'!$C$4:$C$33,MATCH($B328,'Intervals'!$A$4:$A$33,0)))&gt;0),$E328+N(INDEX('Intervals'!$C$4:$C$33,MATCH($B328,'Intervals'!$A$4:$A$33,0))),""),""))</f>
        <v/>
      </c>
      <c r="G328" s="20">
        <f>IF(OR($B328="",$D328=""),"",IFERROR(IF(AND(INDEX('Intervals'!$G$4:$G$33,MATCH($B328,'Intervals'!$A$4:$A$33,0))&lt;&gt;"No",N(INDEX('Intervals'!$D$4:$D$33,MATCH($B328,'Intervals'!$A$4:$A$33,0)))&gt;0),EDATE($D328,N(INDEX('Intervals'!$D$4:$D$33,MATCH($B328,'Intervals'!$A$4:$A$33,0)))),""),""))</f>
        <v/>
      </c>
      <c r="H328" s="19">
        <f>IF($A328="","",IFERROR(IF(N(INDEX('Cars'!$H$4:$H$103,MATCH($A328,'Cars'!$A$4:$A$103,0)))&gt;0,INDEX('Cars'!$H$4:$H$103,MATCH($A328,'Cars'!$A$4:$A$103,0)),""),""))</f>
        <v/>
      </c>
      <c r="I328" s="19">
        <f>IF(OR($F328="",$H328=""),"",$F328-$H328)</f>
        <v/>
      </c>
      <c r="J328" s="21">
        <f>IF($G328="","",$G328-TODAY())</f>
        <v/>
      </c>
      <c r="K328" s="21">
        <f>IF($I328="","",IFERROR(IF(N(INDEX('Cars'!$J$4:$J$103,MATCH($A328,'Cars'!$A$4:$A$103,0)))&gt;0,ROUND($I328/INDEX('Cars'!$J$4:$J$103,MATCH($A328,'Cars'!$A$4:$A$103,0))*30,0),""),""))</f>
        <v/>
      </c>
      <c r="L328" s="21">
        <f>IF(AND($J328="",$K328=""),"",MIN(IF($J328="",99999,$J328),IF($K328="",99999,$K328)))</f>
        <v/>
      </c>
      <c r="M328" s="16">
        <f>IF(AND($I328="",$J328=""),"",IF(OR(AND($I328&lt;&gt;"",N($I328)&lt;0),AND($J328&lt;&gt;"",N($J328)&lt;0)),"Overdue",IF(OR(AND($I328&lt;&gt;"",N($I328)&lt;=IFERROR(INDEX('Intervals'!$E$4:$E$33,MATCH($B328,'Intervals'!$A$4:$A$33,0)),500)),AND($J328&lt;&gt;"",N($J328)&lt;=IFERROR(INDEX('Intervals'!$F$4:$F$33,MATCH($B328,'Intervals'!$A$4:$A$33,0)),14))),"Due soon","OK")))</f>
        <v/>
      </c>
      <c r="N328" s="15" t="n"/>
      <c r="O328" s="22">
        <f>IF(OR($M328="",$M328="OK"),"",$L328+ROW()/100000)</f>
        <v/>
      </c>
    </row>
    <row r="329">
      <c r="A329" s="15" t="n"/>
      <c r="B329" s="15" t="n"/>
      <c r="C329" s="16">
        <f>IF($B329="","",IFERROR(INDEX('Intervals'!$B$4:$B$33,MATCH($B329,'Intervals'!$A$4:$A$33,0)),""))</f>
        <v/>
      </c>
      <c r="D329" s="17" t="n"/>
      <c r="E329" s="18" t="n"/>
      <c r="F329" s="19">
        <f>IF(OR($B329="",$E329=""),"",IFERROR(IF(AND(INDEX('Intervals'!$G$4:$G$33,MATCH($B329,'Intervals'!$A$4:$A$33,0))&lt;&gt;"No",N(INDEX('Intervals'!$C$4:$C$33,MATCH($B329,'Intervals'!$A$4:$A$33,0)))&gt;0),$E329+N(INDEX('Intervals'!$C$4:$C$33,MATCH($B329,'Intervals'!$A$4:$A$33,0))),""),""))</f>
        <v/>
      </c>
      <c r="G329" s="20">
        <f>IF(OR($B329="",$D329=""),"",IFERROR(IF(AND(INDEX('Intervals'!$G$4:$G$33,MATCH($B329,'Intervals'!$A$4:$A$33,0))&lt;&gt;"No",N(INDEX('Intervals'!$D$4:$D$33,MATCH($B329,'Intervals'!$A$4:$A$33,0)))&gt;0),EDATE($D329,N(INDEX('Intervals'!$D$4:$D$33,MATCH($B329,'Intervals'!$A$4:$A$33,0)))),""),""))</f>
        <v/>
      </c>
      <c r="H329" s="19">
        <f>IF($A329="","",IFERROR(IF(N(INDEX('Cars'!$H$4:$H$103,MATCH($A329,'Cars'!$A$4:$A$103,0)))&gt;0,INDEX('Cars'!$H$4:$H$103,MATCH($A329,'Cars'!$A$4:$A$103,0)),""),""))</f>
        <v/>
      </c>
      <c r="I329" s="19">
        <f>IF(OR($F329="",$H329=""),"",$F329-$H329)</f>
        <v/>
      </c>
      <c r="J329" s="21">
        <f>IF($G329="","",$G329-TODAY())</f>
        <v/>
      </c>
      <c r="K329" s="21">
        <f>IF($I329="","",IFERROR(IF(N(INDEX('Cars'!$J$4:$J$103,MATCH($A329,'Cars'!$A$4:$A$103,0)))&gt;0,ROUND($I329/INDEX('Cars'!$J$4:$J$103,MATCH($A329,'Cars'!$A$4:$A$103,0))*30,0),""),""))</f>
        <v/>
      </c>
      <c r="L329" s="21">
        <f>IF(AND($J329="",$K329=""),"",MIN(IF($J329="",99999,$J329),IF($K329="",99999,$K329)))</f>
        <v/>
      </c>
      <c r="M329" s="16">
        <f>IF(AND($I329="",$J329=""),"",IF(OR(AND($I329&lt;&gt;"",N($I329)&lt;0),AND($J329&lt;&gt;"",N($J329)&lt;0)),"Overdue",IF(OR(AND($I329&lt;&gt;"",N($I329)&lt;=IFERROR(INDEX('Intervals'!$E$4:$E$33,MATCH($B329,'Intervals'!$A$4:$A$33,0)),500)),AND($J329&lt;&gt;"",N($J329)&lt;=IFERROR(INDEX('Intervals'!$F$4:$F$33,MATCH($B329,'Intervals'!$A$4:$A$33,0)),14))),"Due soon","OK")))</f>
        <v/>
      </c>
      <c r="N329" s="15" t="n"/>
      <c r="O329" s="22">
        <f>IF(OR($M329="",$M329="OK"),"",$L329+ROW()/100000)</f>
        <v/>
      </c>
    </row>
    <row r="330">
      <c r="A330" s="15" t="n"/>
      <c r="B330" s="15" t="n"/>
      <c r="C330" s="16">
        <f>IF($B330="","",IFERROR(INDEX('Intervals'!$B$4:$B$33,MATCH($B330,'Intervals'!$A$4:$A$33,0)),""))</f>
        <v/>
      </c>
      <c r="D330" s="17" t="n"/>
      <c r="E330" s="18" t="n"/>
      <c r="F330" s="19">
        <f>IF(OR($B330="",$E330=""),"",IFERROR(IF(AND(INDEX('Intervals'!$G$4:$G$33,MATCH($B330,'Intervals'!$A$4:$A$33,0))&lt;&gt;"No",N(INDEX('Intervals'!$C$4:$C$33,MATCH($B330,'Intervals'!$A$4:$A$33,0)))&gt;0),$E330+N(INDEX('Intervals'!$C$4:$C$33,MATCH($B330,'Intervals'!$A$4:$A$33,0))),""),""))</f>
        <v/>
      </c>
      <c r="G330" s="20">
        <f>IF(OR($B330="",$D330=""),"",IFERROR(IF(AND(INDEX('Intervals'!$G$4:$G$33,MATCH($B330,'Intervals'!$A$4:$A$33,0))&lt;&gt;"No",N(INDEX('Intervals'!$D$4:$D$33,MATCH($B330,'Intervals'!$A$4:$A$33,0)))&gt;0),EDATE($D330,N(INDEX('Intervals'!$D$4:$D$33,MATCH($B330,'Intervals'!$A$4:$A$33,0)))),""),""))</f>
        <v/>
      </c>
      <c r="H330" s="19">
        <f>IF($A330="","",IFERROR(IF(N(INDEX('Cars'!$H$4:$H$103,MATCH($A330,'Cars'!$A$4:$A$103,0)))&gt;0,INDEX('Cars'!$H$4:$H$103,MATCH($A330,'Cars'!$A$4:$A$103,0)),""),""))</f>
        <v/>
      </c>
      <c r="I330" s="19">
        <f>IF(OR($F330="",$H330=""),"",$F330-$H330)</f>
        <v/>
      </c>
      <c r="J330" s="21">
        <f>IF($G330="","",$G330-TODAY())</f>
        <v/>
      </c>
      <c r="K330" s="21">
        <f>IF($I330="","",IFERROR(IF(N(INDEX('Cars'!$J$4:$J$103,MATCH($A330,'Cars'!$A$4:$A$103,0)))&gt;0,ROUND($I330/INDEX('Cars'!$J$4:$J$103,MATCH($A330,'Cars'!$A$4:$A$103,0))*30,0),""),""))</f>
        <v/>
      </c>
      <c r="L330" s="21">
        <f>IF(AND($J330="",$K330=""),"",MIN(IF($J330="",99999,$J330),IF($K330="",99999,$K330)))</f>
        <v/>
      </c>
      <c r="M330" s="16">
        <f>IF(AND($I330="",$J330=""),"",IF(OR(AND($I330&lt;&gt;"",N($I330)&lt;0),AND($J330&lt;&gt;"",N($J330)&lt;0)),"Overdue",IF(OR(AND($I330&lt;&gt;"",N($I330)&lt;=IFERROR(INDEX('Intervals'!$E$4:$E$33,MATCH($B330,'Intervals'!$A$4:$A$33,0)),500)),AND($J330&lt;&gt;"",N($J330)&lt;=IFERROR(INDEX('Intervals'!$F$4:$F$33,MATCH($B330,'Intervals'!$A$4:$A$33,0)),14))),"Due soon","OK")))</f>
        <v/>
      </c>
      <c r="N330" s="15" t="n"/>
      <c r="O330" s="22">
        <f>IF(OR($M330="",$M330="OK"),"",$L330+ROW()/100000)</f>
        <v/>
      </c>
    </row>
    <row r="331">
      <c r="A331" s="15" t="n"/>
      <c r="B331" s="15" t="n"/>
      <c r="C331" s="16">
        <f>IF($B331="","",IFERROR(INDEX('Intervals'!$B$4:$B$33,MATCH($B331,'Intervals'!$A$4:$A$33,0)),""))</f>
        <v/>
      </c>
      <c r="D331" s="17" t="n"/>
      <c r="E331" s="18" t="n"/>
      <c r="F331" s="19">
        <f>IF(OR($B331="",$E331=""),"",IFERROR(IF(AND(INDEX('Intervals'!$G$4:$G$33,MATCH($B331,'Intervals'!$A$4:$A$33,0))&lt;&gt;"No",N(INDEX('Intervals'!$C$4:$C$33,MATCH($B331,'Intervals'!$A$4:$A$33,0)))&gt;0),$E331+N(INDEX('Intervals'!$C$4:$C$33,MATCH($B331,'Intervals'!$A$4:$A$33,0))),""),""))</f>
        <v/>
      </c>
      <c r="G331" s="20">
        <f>IF(OR($B331="",$D331=""),"",IFERROR(IF(AND(INDEX('Intervals'!$G$4:$G$33,MATCH($B331,'Intervals'!$A$4:$A$33,0))&lt;&gt;"No",N(INDEX('Intervals'!$D$4:$D$33,MATCH($B331,'Intervals'!$A$4:$A$33,0)))&gt;0),EDATE($D331,N(INDEX('Intervals'!$D$4:$D$33,MATCH($B331,'Intervals'!$A$4:$A$33,0)))),""),""))</f>
        <v/>
      </c>
      <c r="H331" s="19">
        <f>IF($A331="","",IFERROR(IF(N(INDEX('Cars'!$H$4:$H$103,MATCH($A331,'Cars'!$A$4:$A$103,0)))&gt;0,INDEX('Cars'!$H$4:$H$103,MATCH($A331,'Cars'!$A$4:$A$103,0)),""),""))</f>
        <v/>
      </c>
      <c r="I331" s="19">
        <f>IF(OR($F331="",$H331=""),"",$F331-$H331)</f>
        <v/>
      </c>
      <c r="J331" s="21">
        <f>IF($G331="","",$G331-TODAY())</f>
        <v/>
      </c>
      <c r="K331" s="21">
        <f>IF($I331="","",IFERROR(IF(N(INDEX('Cars'!$J$4:$J$103,MATCH($A331,'Cars'!$A$4:$A$103,0)))&gt;0,ROUND($I331/INDEX('Cars'!$J$4:$J$103,MATCH($A331,'Cars'!$A$4:$A$103,0))*30,0),""),""))</f>
        <v/>
      </c>
      <c r="L331" s="21">
        <f>IF(AND($J331="",$K331=""),"",MIN(IF($J331="",99999,$J331),IF($K331="",99999,$K331)))</f>
        <v/>
      </c>
      <c r="M331" s="16">
        <f>IF(AND($I331="",$J331=""),"",IF(OR(AND($I331&lt;&gt;"",N($I331)&lt;0),AND($J331&lt;&gt;"",N($J331)&lt;0)),"Overdue",IF(OR(AND($I331&lt;&gt;"",N($I331)&lt;=IFERROR(INDEX('Intervals'!$E$4:$E$33,MATCH($B331,'Intervals'!$A$4:$A$33,0)),500)),AND($J331&lt;&gt;"",N($J331)&lt;=IFERROR(INDEX('Intervals'!$F$4:$F$33,MATCH($B331,'Intervals'!$A$4:$A$33,0)),14))),"Due soon","OK")))</f>
        <v/>
      </c>
      <c r="N331" s="15" t="n"/>
      <c r="O331" s="22">
        <f>IF(OR($M331="",$M331="OK"),"",$L331+ROW()/100000)</f>
        <v/>
      </c>
    </row>
    <row r="332">
      <c r="A332" s="15" t="n"/>
      <c r="B332" s="15" t="n"/>
      <c r="C332" s="16">
        <f>IF($B332="","",IFERROR(INDEX('Intervals'!$B$4:$B$33,MATCH($B332,'Intervals'!$A$4:$A$33,0)),""))</f>
        <v/>
      </c>
      <c r="D332" s="17" t="n"/>
      <c r="E332" s="18" t="n"/>
      <c r="F332" s="19">
        <f>IF(OR($B332="",$E332=""),"",IFERROR(IF(AND(INDEX('Intervals'!$G$4:$G$33,MATCH($B332,'Intervals'!$A$4:$A$33,0))&lt;&gt;"No",N(INDEX('Intervals'!$C$4:$C$33,MATCH($B332,'Intervals'!$A$4:$A$33,0)))&gt;0),$E332+N(INDEX('Intervals'!$C$4:$C$33,MATCH($B332,'Intervals'!$A$4:$A$33,0))),""),""))</f>
        <v/>
      </c>
      <c r="G332" s="20">
        <f>IF(OR($B332="",$D332=""),"",IFERROR(IF(AND(INDEX('Intervals'!$G$4:$G$33,MATCH($B332,'Intervals'!$A$4:$A$33,0))&lt;&gt;"No",N(INDEX('Intervals'!$D$4:$D$33,MATCH($B332,'Intervals'!$A$4:$A$33,0)))&gt;0),EDATE($D332,N(INDEX('Intervals'!$D$4:$D$33,MATCH($B332,'Intervals'!$A$4:$A$33,0)))),""),""))</f>
        <v/>
      </c>
      <c r="H332" s="19">
        <f>IF($A332="","",IFERROR(IF(N(INDEX('Cars'!$H$4:$H$103,MATCH($A332,'Cars'!$A$4:$A$103,0)))&gt;0,INDEX('Cars'!$H$4:$H$103,MATCH($A332,'Cars'!$A$4:$A$103,0)),""),""))</f>
        <v/>
      </c>
      <c r="I332" s="19">
        <f>IF(OR($F332="",$H332=""),"",$F332-$H332)</f>
        <v/>
      </c>
      <c r="J332" s="21">
        <f>IF($G332="","",$G332-TODAY())</f>
        <v/>
      </c>
      <c r="K332" s="21">
        <f>IF($I332="","",IFERROR(IF(N(INDEX('Cars'!$J$4:$J$103,MATCH($A332,'Cars'!$A$4:$A$103,0)))&gt;0,ROUND($I332/INDEX('Cars'!$J$4:$J$103,MATCH($A332,'Cars'!$A$4:$A$103,0))*30,0),""),""))</f>
        <v/>
      </c>
      <c r="L332" s="21">
        <f>IF(AND($J332="",$K332=""),"",MIN(IF($J332="",99999,$J332),IF($K332="",99999,$K332)))</f>
        <v/>
      </c>
      <c r="M332" s="16">
        <f>IF(AND($I332="",$J332=""),"",IF(OR(AND($I332&lt;&gt;"",N($I332)&lt;0),AND($J332&lt;&gt;"",N($J332)&lt;0)),"Overdue",IF(OR(AND($I332&lt;&gt;"",N($I332)&lt;=IFERROR(INDEX('Intervals'!$E$4:$E$33,MATCH($B332,'Intervals'!$A$4:$A$33,0)),500)),AND($J332&lt;&gt;"",N($J332)&lt;=IFERROR(INDEX('Intervals'!$F$4:$F$33,MATCH($B332,'Intervals'!$A$4:$A$33,0)),14))),"Due soon","OK")))</f>
        <v/>
      </c>
      <c r="N332" s="15" t="n"/>
      <c r="O332" s="22">
        <f>IF(OR($M332="",$M332="OK"),"",$L332+ROW()/100000)</f>
        <v/>
      </c>
    </row>
    <row r="333">
      <c r="A333" s="15" t="n"/>
      <c r="B333" s="15" t="n"/>
      <c r="C333" s="16">
        <f>IF($B333="","",IFERROR(INDEX('Intervals'!$B$4:$B$33,MATCH($B333,'Intervals'!$A$4:$A$33,0)),""))</f>
        <v/>
      </c>
      <c r="D333" s="17" t="n"/>
      <c r="E333" s="18" t="n"/>
      <c r="F333" s="19">
        <f>IF(OR($B333="",$E333=""),"",IFERROR(IF(AND(INDEX('Intervals'!$G$4:$G$33,MATCH($B333,'Intervals'!$A$4:$A$33,0))&lt;&gt;"No",N(INDEX('Intervals'!$C$4:$C$33,MATCH($B333,'Intervals'!$A$4:$A$33,0)))&gt;0),$E333+N(INDEX('Intervals'!$C$4:$C$33,MATCH($B333,'Intervals'!$A$4:$A$33,0))),""),""))</f>
        <v/>
      </c>
      <c r="G333" s="20">
        <f>IF(OR($B333="",$D333=""),"",IFERROR(IF(AND(INDEX('Intervals'!$G$4:$G$33,MATCH($B333,'Intervals'!$A$4:$A$33,0))&lt;&gt;"No",N(INDEX('Intervals'!$D$4:$D$33,MATCH($B333,'Intervals'!$A$4:$A$33,0)))&gt;0),EDATE($D333,N(INDEX('Intervals'!$D$4:$D$33,MATCH($B333,'Intervals'!$A$4:$A$33,0)))),""),""))</f>
        <v/>
      </c>
      <c r="H333" s="19">
        <f>IF($A333="","",IFERROR(IF(N(INDEX('Cars'!$H$4:$H$103,MATCH($A333,'Cars'!$A$4:$A$103,0)))&gt;0,INDEX('Cars'!$H$4:$H$103,MATCH($A333,'Cars'!$A$4:$A$103,0)),""),""))</f>
        <v/>
      </c>
      <c r="I333" s="19">
        <f>IF(OR($F333="",$H333=""),"",$F333-$H333)</f>
        <v/>
      </c>
      <c r="J333" s="21">
        <f>IF($G333="","",$G333-TODAY())</f>
        <v/>
      </c>
      <c r="K333" s="21">
        <f>IF($I333="","",IFERROR(IF(N(INDEX('Cars'!$J$4:$J$103,MATCH($A333,'Cars'!$A$4:$A$103,0)))&gt;0,ROUND($I333/INDEX('Cars'!$J$4:$J$103,MATCH($A333,'Cars'!$A$4:$A$103,0))*30,0),""),""))</f>
        <v/>
      </c>
      <c r="L333" s="21">
        <f>IF(AND($J333="",$K333=""),"",MIN(IF($J333="",99999,$J333),IF($K333="",99999,$K333)))</f>
        <v/>
      </c>
      <c r="M333" s="16">
        <f>IF(AND($I333="",$J333=""),"",IF(OR(AND($I333&lt;&gt;"",N($I333)&lt;0),AND($J333&lt;&gt;"",N($J333)&lt;0)),"Overdue",IF(OR(AND($I333&lt;&gt;"",N($I333)&lt;=IFERROR(INDEX('Intervals'!$E$4:$E$33,MATCH($B333,'Intervals'!$A$4:$A$33,0)),500)),AND($J333&lt;&gt;"",N($J333)&lt;=IFERROR(INDEX('Intervals'!$F$4:$F$33,MATCH($B333,'Intervals'!$A$4:$A$33,0)),14))),"Due soon","OK")))</f>
        <v/>
      </c>
      <c r="N333" s="15" t="n"/>
      <c r="O333" s="22">
        <f>IF(OR($M333="",$M333="OK"),"",$L333+ROW()/100000)</f>
        <v/>
      </c>
    </row>
    <row r="334">
      <c r="A334" s="15" t="n"/>
      <c r="B334" s="15" t="n"/>
      <c r="C334" s="16">
        <f>IF($B334="","",IFERROR(INDEX('Intervals'!$B$4:$B$33,MATCH($B334,'Intervals'!$A$4:$A$33,0)),""))</f>
        <v/>
      </c>
      <c r="D334" s="17" t="n"/>
      <c r="E334" s="18" t="n"/>
      <c r="F334" s="19">
        <f>IF(OR($B334="",$E334=""),"",IFERROR(IF(AND(INDEX('Intervals'!$G$4:$G$33,MATCH($B334,'Intervals'!$A$4:$A$33,0))&lt;&gt;"No",N(INDEX('Intervals'!$C$4:$C$33,MATCH($B334,'Intervals'!$A$4:$A$33,0)))&gt;0),$E334+N(INDEX('Intervals'!$C$4:$C$33,MATCH($B334,'Intervals'!$A$4:$A$33,0))),""),""))</f>
        <v/>
      </c>
      <c r="G334" s="20">
        <f>IF(OR($B334="",$D334=""),"",IFERROR(IF(AND(INDEX('Intervals'!$G$4:$G$33,MATCH($B334,'Intervals'!$A$4:$A$33,0))&lt;&gt;"No",N(INDEX('Intervals'!$D$4:$D$33,MATCH($B334,'Intervals'!$A$4:$A$33,0)))&gt;0),EDATE($D334,N(INDEX('Intervals'!$D$4:$D$33,MATCH($B334,'Intervals'!$A$4:$A$33,0)))),""),""))</f>
        <v/>
      </c>
      <c r="H334" s="19">
        <f>IF($A334="","",IFERROR(IF(N(INDEX('Cars'!$H$4:$H$103,MATCH($A334,'Cars'!$A$4:$A$103,0)))&gt;0,INDEX('Cars'!$H$4:$H$103,MATCH($A334,'Cars'!$A$4:$A$103,0)),""),""))</f>
        <v/>
      </c>
      <c r="I334" s="19">
        <f>IF(OR($F334="",$H334=""),"",$F334-$H334)</f>
        <v/>
      </c>
      <c r="J334" s="21">
        <f>IF($G334="","",$G334-TODAY())</f>
        <v/>
      </c>
      <c r="K334" s="21">
        <f>IF($I334="","",IFERROR(IF(N(INDEX('Cars'!$J$4:$J$103,MATCH($A334,'Cars'!$A$4:$A$103,0)))&gt;0,ROUND($I334/INDEX('Cars'!$J$4:$J$103,MATCH($A334,'Cars'!$A$4:$A$103,0))*30,0),""),""))</f>
        <v/>
      </c>
      <c r="L334" s="21">
        <f>IF(AND($J334="",$K334=""),"",MIN(IF($J334="",99999,$J334),IF($K334="",99999,$K334)))</f>
        <v/>
      </c>
      <c r="M334" s="16">
        <f>IF(AND($I334="",$J334=""),"",IF(OR(AND($I334&lt;&gt;"",N($I334)&lt;0),AND($J334&lt;&gt;"",N($J334)&lt;0)),"Overdue",IF(OR(AND($I334&lt;&gt;"",N($I334)&lt;=IFERROR(INDEX('Intervals'!$E$4:$E$33,MATCH($B334,'Intervals'!$A$4:$A$33,0)),500)),AND($J334&lt;&gt;"",N($J334)&lt;=IFERROR(INDEX('Intervals'!$F$4:$F$33,MATCH($B334,'Intervals'!$A$4:$A$33,0)),14))),"Due soon","OK")))</f>
        <v/>
      </c>
      <c r="N334" s="15" t="n"/>
      <c r="O334" s="22">
        <f>IF(OR($M334="",$M334="OK"),"",$L334+ROW()/100000)</f>
        <v/>
      </c>
    </row>
    <row r="335">
      <c r="A335" s="15" t="n"/>
      <c r="B335" s="15" t="n"/>
      <c r="C335" s="16">
        <f>IF($B335="","",IFERROR(INDEX('Intervals'!$B$4:$B$33,MATCH($B335,'Intervals'!$A$4:$A$33,0)),""))</f>
        <v/>
      </c>
      <c r="D335" s="17" t="n"/>
      <c r="E335" s="18" t="n"/>
      <c r="F335" s="19">
        <f>IF(OR($B335="",$E335=""),"",IFERROR(IF(AND(INDEX('Intervals'!$G$4:$G$33,MATCH($B335,'Intervals'!$A$4:$A$33,0))&lt;&gt;"No",N(INDEX('Intervals'!$C$4:$C$33,MATCH($B335,'Intervals'!$A$4:$A$33,0)))&gt;0),$E335+N(INDEX('Intervals'!$C$4:$C$33,MATCH($B335,'Intervals'!$A$4:$A$33,0))),""),""))</f>
        <v/>
      </c>
      <c r="G335" s="20">
        <f>IF(OR($B335="",$D335=""),"",IFERROR(IF(AND(INDEX('Intervals'!$G$4:$G$33,MATCH($B335,'Intervals'!$A$4:$A$33,0))&lt;&gt;"No",N(INDEX('Intervals'!$D$4:$D$33,MATCH($B335,'Intervals'!$A$4:$A$33,0)))&gt;0),EDATE($D335,N(INDEX('Intervals'!$D$4:$D$33,MATCH($B335,'Intervals'!$A$4:$A$33,0)))),""),""))</f>
        <v/>
      </c>
      <c r="H335" s="19">
        <f>IF($A335="","",IFERROR(IF(N(INDEX('Cars'!$H$4:$H$103,MATCH($A335,'Cars'!$A$4:$A$103,0)))&gt;0,INDEX('Cars'!$H$4:$H$103,MATCH($A335,'Cars'!$A$4:$A$103,0)),""),""))</f>
        <v/>
      </c>
      <c r="I335" s="19">
        <f>IF(OR($F335="",$H335=""),"",$F335-$H335)</f>
        <v/>
      </c>
      <c r="J335" s="21">
        <f>IF($G335="","",$G335-TODAY())</f>
        <v/>
      </c>
      <c r="K335" s="21">
        <f>IF($I335="","",IFERROR(IF(N(INDEX('Cars'!$J$4:$J$103,MATCH($A335,'Cars'!$A$4:$A$103,0)))&gt;0,ROUND($I335/INDEX('Cars'!$J$4:$J$103,MATCH($A335,'Cars'!$A$4:$A$103,0))*30,0),""),""))</f>
        <v/>
      </c>
      <c r="L335" s="21">
        <f>IF(AND($J335="",$K335=""),"",MIN(IF($J335="",99999,$J335),IF($K335="",99999,$K335)))</f>
        <v/>
      </c>
      <c r="M335" s="16">
        <f>IF(AND($I335="",$J335=""),"",IF(OR(AND($I335&lt;&gt;"",N($I335)&lt;0),AND($J335&lt;&gt;"",N($J335)&lt;0)),"Overdue",IF(OR(AND($I335&lt;&gt;"",N($I335)&lt;=IFERROR(INDEX('Intervals'!$E$4:$E$33,MATCH($B335,'Intervals'!$A$4:$A$33,0)),500)),AND($J335&lt;&gt;"",N($J335)&lt;=IFERROR(INDEX('Intervals'!$F$4:$F$33,MATCH($B335,'Intervals'!$A$4:$A$33,0)),14))),"Due soon","OK")))</f>
        <v/>
      </c>
      <c r="N335" s="15" t="n"/>
      <c r="O335" s="22">
        <f>IF(OR($M335="",$M335="OK"),"",$L335+ROW()/100000)</f>
        <v/>
      </c>
    </row>
    <row r="336">
      <c r="A336" s="15" t="n"/>
      <c r="B336" s="15" t="n"/>
      <c r="C336" s="16">
        <f>IF($B336="","",IFERROR(INDEX('Intervals'!$B$4:$B$33,MATCH($B336,'Intervals'!$A$4:$A$33,0)),""))</f>
        <v/>
      </c>
      <c r="D336" s="17" t="n"/>
      <c r="E336" s="18" t="n"/>
      <c r="F336" s="19">
        <f>IF(OR($B336="",$E336=""),"",IFERROR(IF(AND(INDEX('Intervals'!$G$4:$G$33,MATCH($B336,'Intervals'!$A$4:$A$33,0))&lt;&gt;"No",N(INDEX('Intervals'!$C$4:$C$33,MATCH($B336,'Intervals'!$A$4:$A$33,0)))&gt;0),$E336+N(INDEX('Intervals'!$C$4:$C$33,MATCH($B336,'Intervals'!$A$4:$A$33,0))),""),""))</f>
        <v/>
      </c>
      <c r="G336" s="20">
        <f>IF(OR($B336="",$D336=""),"",IFERROR(IF(AND(INDEX('Intervals'!$G$4:$G$33,MATCH($B336,'Intervals'!$A$4:$A$33,0))&lt;&gt;"No",N(INDEX('Intervals'!$D$4:$D$33,MATCH($B336,'Intervals'!$A$4:$A$33,0)))&gt;0),EDATE($D336,N(INDEX('Intervals'!$D$4:$D$33,MATCH($B336,'Intervals'!$A$4:$A$33,0)))),""),""))</f>
        <v/>
      </c>
      <c r="H336" s="19">
        <f>IF($A336="","",IFERROR(IF(N(INDEX('Cars'!$H$4:$H$103,MATCH($A336,'Cars'!$A$4:$A$103,0)))&gt;0,INDEX('Cars'!$H$4:$H$103,MATCH($A336,'Cars'!$A$4:$A$103,0)),""),""))</f>
        <v/>
      </c>
      <c r="I336" s="19">
        <f>IF(OR($F336="",$H336=""),"",$F336-$H336)</f>
        <v/>
      </c>
      <c r="J336" s="21">
        <f>IF($G336="","",$G336-TODAY())</f>
        <v/>
      </c>
      <c r="K336" s="21">
        <f>IF($I336="","",IFERROR(IF(N(INDEX('Cars'!$J$4:$J$103,MATCH($A336,'Cars'!$A$4:$A$103,0)))&gt;0,ROUND($I336/INDEX('Cars'!$J$4:$J$103,MATCH($A336,'Cars'!$A$4:$A$103,0))*30,0),""),""))</f>
        <v/>
      </c>
      <c r="L336" s="21">
        <f>IF(AND($J336="",$K336=""),"",MIN(IF($J336="",99999,$J336),IF($K336="",99999,$K336)))</f>
        <v/>
      </c>
      <c r="M336" s="16">
        <f>IF(AND($I336="",$J336=""),"",IF(OR(AND($I336&lt;&gt;"",N($I336)&lt;0),AND($J336&lt;&gt;"",N($J336)&lt;0)),"Overdue",IF(OR(AND($I336&lt;&gt;"",N($I336)&lt;=IFERROR(INDEX('Intervals'!$E$4:$E$33,MATCH($B336,'Intervals'!$A$4:$A$33,0)),500)),AND($J336&lt;&gt;"",N($J336)&lt;=IFERROR(INDEX('Intervals'!$F$4:$F$33,MATCH($B336,'Intervals'!$A$4:$A$33,0)),14))),"Due soon","OK")))</f>
        <v/>
      </c>
      <c r="N336" s="15" t="n"/>
      <c r="O336" s="22">
        <f>IF(OR($M336="",$M336="OK"),"",$L336+ROW()/100000)</f>
        <v/>
      </c>
    </row>
    <row r="337">
      <c r="A337" s="15" t="n"/>
      <c r="B337" s="15" t="n"/>
      <c r="C337" s="16">
        <f>IF($B337="","",IFERROR(INDEX('Intervals'!$B$4:$B$33,MATCH($B337,'Intervals'!$A$4:$A$33,0)),""))</f>
        <v/>
      </c>
      <c r="D337" s="17" t="n"/>
      <c r="E337" s="18" t="n"/>
      <c r="F337" s="19">
        <f>IF(OR($B337="",$E337=""),"",IFERROR(IF(AND(INDEX('Intervals'!$G$4:$G$33,MATCH($B337,'Intervals'!$A$4:$A$33,0))&lt;&gt;"No",N(INDEX('Intervals'!$C$4:$C$33,MATCH($B337,'Intervals'!$A$4:$A$33,0)))&gt;0),$E337+N(INDEX('Intervals'!$C$4:$C$33,MATCH($B337,'Intervals'!$A$4:$A$33,0))),""),""))</f>
        <v/>
      </c>
      <c r="G337" s="20">
        <f>IF(OR($B337="",$D337=""),"",IFERROR(IF(AND(INDEX('Intervals'!$G$4:$G$33,MATCH($B337,'Intervals'!$A$4:$A$33,0))&lt;&gt;"No",N(INDEX('Intervals'!$D$4:$D$33,MATCH($B337,'Intervals'!$A$4:$A$33,0)))&gt;0),EDATE($D337,N(INDEX('Intervals'!$D$4:$D$33,MATCH($B337,'Intervals'!$A$4:$A$33,0)))),""),""))</f>
        <v/>
      </c>
      <c r="H337" s="19">
        <f>IF($A337="","",IFERROR(IF(N(INDEX('Cars'!$H$4:$H$103,MATCH($A337,'Cars'!$A$4:$A$103,0)))&gt;0,INDEX('Cars'!$H$4:$H$103,MATCH($A337,'Cars'!$A$4:$A$103,0)),""),""))</f>
        <v/>
      </c>
      <c r="I337" s="19">
        <f>IF(OR($F337="",$H337=""),"",$F337-$H337)</f>
        <v/>
      </c>
      <c r="J337" s="21">
        <f>IF($G337="","",$G337-TODAY())</f>
        <v/>
      </c>
      <c r="K337" s="21">
        <f>IF($I337="","",IFERROR(IF(N(INDEX('Cars'!$J$4:$J$103,MATCH($A337,'Cars'!$A$4:$A$103,0)))&gt;0,ROUND($I337/INDEX('Cars'!$J$4:$J$103,MATCH($A337,'Cars'!$A$4:$A$103,0))*30,0),""),""))</f>
        <v/>
      </c>
      <c r="L337" s="21">
        <f>IF(AND($J337="",$K337=""),"",MIN(IF($J337="",99999,$J337),IF($K337="",99999,$K337)))</f>
        <v/>
      </c>
      <c r="M337" s="16">
        <f>IF(AND($I337="",$J337=""),"",IF(OR(AND($I337&lt;&gt;"",N($I337)&lt;0),AND($J337&lt;&gt;"",N($J337)&lt;0)),"Overdue",IF(OR(AND($I337&lt;&gt;"",N($I337)&lt;=IFERROR(INDEX('Intervals'!$E$4:$E$33,MATCH($B337,'Intervals'!$A$4:$A$33,0)),500)),AND($J337&lt;&gt;"",N($J337)&lt;=IFERROR(INDEX('Intervals'!$F$4:$F$33,MATCH($B337,'Intervals'!$A$4:$A$33,0)),14))),"Due soon","OK")))</f>
        <v/>
      </c>
      <c r="N337" s="15" t="n"/>
      <c r="O337" s="22">
        <f>IF(OR($M337="",$M337="OK"),"",$L337+ROW()/100000)</f>
        <v/>
      </c>
    </row>
    <row r="338">
      <c r="A338" s="15" t="n"/>
      <c r="B338" s="15" t="n"/>
      <c r="C338" s="16">
        <f>IF($B338="","",IFERROR(INDEX('Intervals'!$B$4:$B$33,MATCH($B338,'Intervals'!$A$4:$A$33,0)),""))</f>
        <v/>
      </c>
      <c r="D338" s="17" t="n"/>
      <c r="E338" s="18" t="n"/>
      <c r="F338" s="19">
        <f>IF(OR($B338="",$E338=""),"",IFERROR(IF(AND(INDEX('Intervals'!$G$4:$G$33,MATCH($B338,'Intervals'!$A$4:$A$33,0))&lt;&gt;"No",N(INDEX('Intervals'!$C$4:$C$33,MATCH($B338,'Intervals'!$A$4:$A$33,0)))&gt;0),$E338+N(INDEX('Intervals'!$C$4:$C$33,MATCH($B338,'Intervals'!$A$4:$A$33,0))),""),""))</f>
        <v/>
      </c>
      <c r="G338" s="20">
        <f>IF(OR($B338="",$D338=""),"",IFERROR(IF(AND(INDEX('Intervals'!$G$4:$G$33,MATCH($B338,'Intervals'!$A$4:$A$33,0))&lt;&gt;"No",N(INDEX('Intervals'!$D$4:$D$33,MATCH($B338,'Intervals'!$A$4:$A$33,0)))&gt;0),EDATE($D338,N(INDEX('Intervals'!$D$4:$D$33,MATCH($B338,'Intervals'!$A$4:$A$33,0)))),""),""))</f>
        <v/>
      </c>
      <c r="H338" s="19">
        <f>IF($A338="","",IFERROR(IF(N(INDEX('Cars'!$H$4:$H$103,MATCH($A338,'Cars'!$A$4:$A$103,0)))&gt;0,INDEX('Cars'!$H$4:$H$103,MATCH($A338,'Cars'!$A$4:$A$103,0)),""),""))</f>
        <v/>
      </c>
      <c r="I338" s="19">
        <f>IF(OR($F338="",$H338=""),"",$F338-$H338)</f>
        <v/>
      </c>
      <c r="J338" s="21">
        <f>IF($G338="","",$G338-TODAY())</f>
        <v/>
      </c>
      <c r="K338" s="21">
        <f>IF($I338="","",IFERROR(IF(N(INDEX('Cars'!$J$4:$J$103,MATCH($A338,'Cars'!$A$4:$A$103,0)))&gt;0,ROUND($I338/INDEX('Cars'!$J$4:$J$103,MATCH($A338,'Cars'!$A$4:$A$103,0))*30,0),""),""))</f>
        <v/>
      </c>
      <c r="L338" s="21">
        <f>IF(AND($J338="",$K338=""),"",MIN(IF($J338="",99999,$J338),IF($K338="",99999,$K338)))</f>
        <v/>
      </c>
      <c r="M338" s="16">
        <f>IF(AND($I338="",$J338=""),"",IF(OR(AND($I338&lt;&gt;"",N($I338)&lt;0),AND($J338&lt;&gt;"",N($J338)&lt;0)),"Overdue",IF(OR(AND($I338&lt;&gt;"",N($I338)&lt;=IFERROR(INDEX('Intervals'!$E$4:$E$33,MATCH($B338,'Intervals'!$A$4:$A$33,0)),500)),AND($J338&lt;&gt;"",N($J338)&lt;=IFERROR(INDEX('Intervals'!$F$4:$F$33,MATCH($B338,'Intervals'!$A$4:$A$33,0)),14))),"Due soon","OK")))</f>
        <v/>
      </c>
      <c r="N338" s="15" t="n"/>
      <c r="O338" s="22">
        <f>IF(OR($M338="",$M338="OK"),"",$L338+ROW()/100000)</f>
        <v/>
      </c>
    </row>
    <row r="339">
      <c r="A339" s="15" t="n"/>
      <c r="B339" s="15" t="n"/>
      <c r="C339" s="16">
        <f>IF($B339="","",IFERROR(INDEX('Intervals'!$B$4:$B$33,MATCH($B339,'Intervals'!$A$4:$A$33,0)),""))</f>
        <v/>
      </c>
      <c r="D339" s="17" t="n"/>
      <c r="E339" s="18" t="n"/>
      <c r="F339" s="19">
        <f>IF(OR($B339="",$E339=""),"",IFERROR(IF(AND(INDEX('Intervals'!$G$4:$G$33,MATCH($B339,'Intervals'!$A$4:$A$33,0))&lt;&gt;"No",N(INDEX('Intervals'!$C$4:$C$33,MATCH($B339,'Intervals'!$A$4:$A$33,0)))&gt;0),$E339+N(INDEX('Intervals'!$C$4:$C$33,MATCH($B339,'Intervals'!$A$4:$A$33,0))),""),""))</f>
        <v/>
      </c>
      <c r="G339" s="20">
        <f>IF(OR($B339="",$D339=""),"",IFERROR(IF(AND(INDEX('Intervals'!$G$4:$G$33,MATCH($B339,'Intervals'!$A$4:$A$33,0))&lt;&gt;"No",N(INDEX('Intervals'!$D$4:$D$33,MATCH($B339,'Intervals'!$A$4:$A$33,0)))&gt;0),EDATE($D339,N(INDEX('Intervals'!$D$4:$D$33,MATCH($B339,'Intervals'!$A$4:$A$33,0)))),""),""))</f>
        <v/>
      </c>
      <c r="H339" s="19">
        <f>IF($A339="","",IFERROR(IF(N(INDEX('Cars'!$H$4:$H$103,MATCH($A339,'Cars'!$A$4:$A$103,0)))&gt;0,INDEX('Cars'!$H$4:$H$103,MATCH($A339,'Cars'!$A$4:$A$103,0)),""),""))</f>
        <v/>
      </c>
      <c r="I339" s="19">
        <f>IF(OR($F339="",$H339=""),"",$F339-$H339)</f>
        <v/>
      </c>
      <c r="J339" s="21">
        <f>IF($G339="","",$G339-TODAY())</f>
        <v/>
      </c>
      <c r="K339" s="21">
        <f>IF($I339="","",IFERROR(IF(N(INDEX('Cars'!$J$4:$J$103,MATCH($A339,'Cars'!$A$4:$A$103,0)))&gt;0,ROUND($I339/INDEX('Cars'!$J$4:$J$103,MATCH($A339,'Cars'!$A$4:$A$103,0))*30,0),""),""))</f>
        <v/>
      </c>
      <c r="L339" s="21">
        <f>IF(AND($J339="",$K339=""),"",MIN(IF($J339="",99999,$J339),IF($K339="",99999,$K339)))</f>
        <v/>
      </c>
      <c r="M339" s="16">
        <f>IF(AND($I339="",$J339=""),"",IF(OR(AND($I339&lt;&gt;"",N($I339)&lt;0),AND($J339&lt;&gt;"",N($J339)&lt;0)),"Overdue",IF(OR(AND($I339&lt;&gt;"",N($I339)&lt;=IFERROR(INDEX('Intervals'!$E$4:$E$33,MATCH($B339,'Intervals'!$A$4:$A$33,0)),500)),AND($J339&lt;&gt;"",N($J339)&lt;=IFERROR(INDEX('Intervals'!$F$4:$F$33,MATCH($B339,'Intervals'!$A$4:$A$33,0)),14))),"Due soon","OK")))</f>
        <v/>
      </c>
      <c r="N339" s="15" t="n"/>
      <c r="O339" s="22">
        <f>IF(OR($M339="",$M339="OK"),"",$L339+ROW()/100000)</f>
        <v/>
      </c>
    </row>
    <row r="340">
      <c r="A340" s="15" t="n"/>
      <c r="B340" s="15" t="n"/>
      <c r="C340" s="16">
        <f>IF($B340="","",IFERROR(INDEX('Intervals'!$B$4:$B$33,MATCH($B340,'Intervals'!$A$4:$A$33,0)),""))</f>
        <v/>
      </c>
      <c r="D340" s="17" t="n"/>
      <c r="E340" s="18" t="n"/>
      <c r="F340" s="19">
        <f>IF(OR($B340="",$E340=""),"",IFERROR(IF(AND(INDEX('Intervals'!$G$4:$G$33,MATCH($B340,'Intervals'!$A$4:$A$33,0))&lt;&gt;"No",N(INDEX('Intervals'!$C$4:$C$33,MATCH($B340,'Intervals'!$A$4:$A$33,0)))&gt;0),$E340+N(INDEX('Intervals'!$C$4:$C$33,MATCH($B340,'Intervals'!$A$4:$A$33,0))),""),""))</f>
        <v/>
      </c>
      <c r="G340" s="20">
        <f>IF(OR($B340="",$D340=""),"",IFERROR(IF(AND(INDEX('Intervals'!$G$4:$G$33,MATCH($B340,'Intervals'!$A$4:$A$33,0))&lt;&gt;"No",N(INDEX('Intervals'!$D$4:$D$33,MATCH($B340,'Intervals'!$A$4:$A$33,0)))&gt;0),EDATE($D340,N(INDEX('Intervals'!$D$4:$D$33,MATCH($B340,'Intervals'!$A$4:$A$33,0)))),""),""))</f>
        <v/>
      </c>
      <c r="H340" s="19">
        <f>IF($A340="","",IFERROR(IF(N(INDEX('Cars'!$H$4:$H$103,MATCH($A340,'Cars'!$A$4:$A$103,0)))&gt;0,INDEX('Cars'!$H$4:$H$103,MATCH($A340,'Cars'!$A$4:$A$103,0)),""),""))</f>
        <v/>
      </c>
      <c r="I340" s="19">
        <f>IF(OR($F340="",$H340=""),"",$F340-$H340)</f>
        <v/>
      </c>
      <c r="J340" s="21">
        <f>IF($G340="","",$G340-TODAY())</f>
        <v/>
      </c>
      <c r="K340" s="21">
        <f>IF($I340="","",IFERROR(IF(N(INDEX('Cars'!$J$4:$J$103,MATCH($A340,'Cars'!$A$4:$A$103,0)))&gt;0,ROUND($I340/INDEX('Cars'!$J$4:$J$103,MATCH($A340,'Cars'!$A$4:$A$103,0))*30,0),""),""))</f>
        <v/>
      </c>
      <c r="L340" s="21">
        <f>IF(AND($J340="",$K340=""),"",MIN(IF($J340="",99999,$J340),IF($K340="",99999,$K340)))</f>
        <v/>
      </c>
      <c r="M340" s="16">
        <f>IF(AND($I340="",$J340=""),"",IF(OR(AND($I340&lt;&gt;"",N($I340)&lt;0),AND($J340&lt;&gt;"",N($J340)&lt;0)),"Overdue",IF(OR(AND($I340&lt;&gt;"",N($I340)&lt;=IFERROR(INDEX('Intervals'!$E$4:$E$33,MATCH($B340,'Intervals'!$A$4:$A$33,0)),500)),AND($J340&lt;&gt;"",N($J340)&lt;=IFERROR(INDEX('Intervals'!$F$4:$F$33,MATCH($B340,'Intervals'!$A$4:$A$33,0)),14))),"Due soon","OK")))</f>
        <v/>
      </c>
      <c r="N340" s="15" t="n"/>
      <c r="O340" s="22">
        <f>IF(OR($M340="",$M340="OK"),"",$L340+ROW()/100000)</f>
        <v/>
      </c>
    </row>
    <row r="341">
      <c r="A341" s="15" t="n"/>
      <c r="B341" s="15" t="n"/>
      <c r="C341" s="16">
        <f>IF($B341="","",IFERROR(INDEX('Intervals'!$B$4:$B$33,MATCH($B341,'Intervals'!$A$4:$A$33,0)),""))</f>
        <v/>
      </c>
      <c r="D341" s="17" t="n"/>
      <c r="E341" s="18" t="n"/>
      <c r="F341" s="19">
        <f>IF(OR($B341="",$E341=""),"",IFERROR(IF(AND(INDEX('Intervals'!$G$4:$G$33,MATCH($B341,'Intervals'!$A$4:$A$33,0))&lt;&gt;"No",N(INDEX('Intervals'!$C$4:$C$33,MATCH($B341,'Intervals'!$A$4:$A$33,0)))&gt;0),$E341+N(INDEX('Intervals'!$C$4:$C$33,MATCH($B341,'Intervals'!$A$4:$A$33,0))),""),""))</f>
        <v/>
      </c>
      <c r="G341" s="20">
        <f>IF(OR($B341="",$D341=""),"",IFERROR(IF(AND(INDEX('Intervals'!$G$4:$G$33,MATCH($B341,'Intervals'!$A$4:$A$33,0))&lt;&gt;"No",N(INDEX('Intervals'!$D$4:$D$33,MATCH($B341,'Intervals'!$A$4:$A$33,0)))&gt;0),EDATE($D341,N(INDEX('Intervals'!$D$4:$D$33,MATCH($B341,'Intervals'!$A$4:$A$33,0)))),""),""))</f>
        <v/>
      </c>
      <c r="H341" s="19">
        <f>IF($A341="","",IFERROR(IF(N(INDEX('Cars'!$H$4:$H$103,MATCH($A341,'Cars'!$A$4:$A$103,0)))&gt;0,INDEX('Cars'!$H$4:$H$103,MATCH($A341,'Cars'!$A$4:$A$103,0)),""),""))</f>
        <v/>
      </c>
      <c r="I341" s="19">
        <f>IF(OR($F341="",$H341=""),"",$F341-$H341)</f>
        <v/>
      </c>
      <c r="J341" s="21">
        <f>IF($G341="","",$G341-TODAY())</f>
        <v/>
      </c>
      <c r="K341" s="21">
        <f>IF($I341="","",IFERROR(IF(N(INDEX('Cars'!$J$4:$J$103,MATCH($A341,'Cars'!$A$4:$A$103,0)))&gt;0,ROUND($I341/INDEX('Cars'!$J$4:$J$103,MATCH($A341,'Cars'!$A$4:$A$103,0))*30,0),""),""))</f>
        <v/>
      </c>
      <c r="L341" s="21">
        <f>IF(AND($J341="",$K341=""),"",MIN(IF($J341="",99999,$J341),IF($K341="",99999,$K341)))</f>
        <v/>
      </c>
      <c r="M341" s="16">
        <f>IF(AND($I341="",$J341=""),"",IF(OR(AND($I341&lt;&gt;"",N($I341)&lt;0),AND($J341&lt;&gt;"",N($J341)&lt;0)),"Overdue",IF(OR(AND($I341&lt;&gt;"",N($I341)&lt;=IFERROR(INDEX('Intervals'!$E$4:$E$33,MATCH($B341,'Intervals'!$A$4:$A$33,0)),500)),AND($J341&lt;&gt;"",N($J341)&lt;=IFERROR(INDEX('Intervals'!$F$4:$F$33,MATCH($B341,'Intervals'!$A$4:$A$33,0)),14))),"Due soon","OK")))</f>
        <v/>
      </c>
      <c r="N341" s="15" t="n"/>
      <c r="O341" s="22">
        <f>IF(OR($M341="",$M341="OK"),"",$L341+ROW()/100000)</f>
        <v/>
      </c>
    </row>
    <row r="342">
      <c r="A342" s="15" t="n"/>
      <c r="B342" s="15" t="n"/>
      <c r="C342" s="16">
        <f>IF($B342="","",IFERROR(INDEX('Intervals'!$B$4:$B$33,MATCH($B342,'Intervals'!$A$4:$A$33,0)),""))</f>
        <v/>
      </c>
      <c r="D342" s="17" t="n"/>
      <c r="E342" s="18" t="n"/>
      <c r="F342" s="19">
        <f>IF(OR($B342="",$E342=""),"",IFERROR(IF(AND(INDEX('Intervals'!$G$4:$G$33,MATCH($B342,'Intervals'!$A$4:$A$33,0))&lt;&gt;"No",N(INDEX('Intervals'!$C$4:$C$33,MATCH($B342,'Intervals'!$A$4:$A$33,0)))&gt;0),$E342+N(INDEX('Intervals'!$C$4:$C$33,MATCH($B342,'Intervals'!$A$4:$A$33,0))),""),""))</f>
        <v/>
      </c>
      <c r="G342" s="20">
        <f>IF(OR($B342="",$D342=""),"",IFERROR(IF(AND(INDEX('Intervals'!$G$4:$G$33,MATCH($B342,'Intervals'!$A$4:$A$33,0))&lt;&gt;"No",N(INDEX('Intervals'!$D$4:$D$33,MATCH($B342,'Intervals'!$A$4:$A$33,0)))&gt;0),EDATE($D342,N(INDEX('Intervals'!$D$4:$D$33,MATCH($B342,'Intervals'!$A$4:$A$33,0)))),""),""))</f>
        <v/>
      </c>
      <c r="H342" s="19">
        <f>IF($A342="","",IFERROR(IF(N(INDEX('Cars'!$H$4:$H$103,MATCH($A342,'Cars'!$A$4:$A$103,0)))&gt;0,INDEX('Cars'!$H$4:$H$103,MATCH($A342,'Cars'!$A$4:$A$103,0)),""),""))</f>
        <v/>
      </c>
      <c r="I342" s="19">
        <f>IF(OR($F342="",$H342=""),"",$F342-$H342)</f>
        <v/>
      </c>
      <c r="J342" s="21">
        <f>IF($G342="","",$G342-TODAY())</f>
        <v/>
      </c>
      <c r="K342" s="21">
        <f>IF($I342="","",IFERROR(IF(N(INDEX('Cars'!$J$4:$J$103,MATCH($A342,'Cars'!$A$4:$A$103,0)))&gt;0,ROUND($I342/INDEX('Cars'!$J$4:$J$103,MATCH($A342,'Cars'!$A$4:$A$103,0))*30,0),""),""))</f>
        <v/>
      </c>
      <c r="L342" s="21">
        <f>IF(AND($J342="",$K342=""),"",MIN(IF($J342="",99999,$J342),IF($K342="",99999,$K342)))</f>
        <v/>
      </c>
      <c r="M342" s="16">
        <f>IF(AND($I342="",$J342=""),"",IF(OR(AND($I342&lt;&gt;"",N($I342)&lt;0),AND($J342&lt;&gt;"",N($J342)&lt;0)),"Overdue",IF(OR(AND($I342&lt;&gt;"",N($I342)&lt;=IFERROR(INDEX('Intervals'!$E$4:$E$33,MATCH($B342,'Intervals'!$A$4:$A$33,0)),500)),AND($J342&lt;&gt;"",N($J342)&lt;=IFERROR(INDEX('Intervals'!$F$4:$F$33,MATCH($B342,'Intervals'!$A$4:$A$33,0)),14))),"Due soon","OK")))</f>
        <v/>
      </c>
      <c r="N342" s="15" t="n"/>
      <c r="O342" s="22">
        <f>IF(OR($M342="",$M342="OK"),"",$L342+ROW()/100000)</f>
        <v/>
      </c>
    </row>
    <row r="343">
      <c r="A343" s="15" t="n"/>
      <c r="B343" s="15" t="n"/>
      <c r="C343" s="16">
        <f>IF($B343="","",IFERROR(INDEX('Intervals'!$B$4:$B$33,MATCH($B343,'Intervals'!$A$4:$A$33,0)),""))</f>
        <v/>
      </c>
      <c r="D343" s="17" t="n"/>
      <c r="E343" s="18" t="n"/>
      <c r="F343" s="19">
        <f>IF(OR($B343="",$E343=""),"",IFERROR(IF(AND(INDEX('Intervals'!$G$4:$G$33,MATCH($B343,'Intervals'!$A$4:$A$33,0))&lt;&gt;"No",N(INDEX('Intervals'!$C$4:$C$33,MATCH($B343,'Intervals'!$A$4:$A$33,0)))&gt;0),$E343+N(INDEX('Intervals'!$C$4:$C$33,MATCH($B343,'Intervals'!$A$4:$A$33,0))),""),""))</f>
        <v/>
      </c>
      <c r="G343" s="20">
        <f>IF(OR($B343="",$D343=""),"",IFERROR(IF(AND(INDEX('Intervals'!$G$4:$G$33,MATCH($B343,'Intervals'!$A$4:$A$33,0))&lt;&gt;"No",N(INDEX('Intervals'!$D$4:$D$33,MATCH($B343,'Intervals'!$A$4:$A$33,0)))&gt;0),EDATE($D343,N(INDEX('Intervals'!$D$4:$D$33,MATCH($B343,'Intervals'!$A$4:$A$33,0)))),""),""))</f>
        <v/>
      </c>
      <c r="H343" s="19">
        <f>IF($A343="","",IFERROR(IF(N(INDEX('Cars'!$H$4:$H$103,MATCH($A343,'Cars'!$A$4:$A$103,0)))&gt;0,INDEX('Cars'!$H$4:$H$103,MATCH($A343,'Cars'!$A$4:$A$103,0)),""),""))</f>
        <v/>
      </c>
      <c r="I343" s="19">
        <f>IF(OR($F343="",$H343=""),"",$F343-$H343)</f>
        <v/>
      </c>
      <c r="J343" s="21">
        <f>IF($G343="","",$G343-TODAY())</f>
        <v/>
      </c>
      <c r="K343" s="21">
        <f>IF($I343="","",IFERROR(IF(N(INDEX('Cars'!$J$4:$J$103,MATCH($A343,'Cars'!$A$4:$A$103,0)))&gt;0,ROUND($I343/INDEX('Cars'!$J$4:$J$103,MATCH($A343,'Cars'!$A$4:$A$103,0))*30,0),""),""))</f>
        <v/>
      </c>
      <c r="L343" s="21">
        <f>IF(AND($J343="",$K343=""),"",MIN(IF($J343="",99999,$J343),IF($K343="",99999,$K343)))</f>
        <v/>
      </c>
      <c r="M343" s="16">
        <f>IF(AND($I343="",$J343=""),"",IF(OR(AND($I343&lt;&gt;"",N($I343)&lt;0),AND($J343&lt;&gt;"",N($J343)&lt;0)),"Overdue",IF(OR(AND($I343&lt;&gt;"",N($I343)&lt;=IFERROR(INDEX('Intervals'!$E$4:$E$33,MATCH($B343,'Intervals'!$A$4:$A$33,0)),500)),AND($J343&lt;&gt;"",N($J343)&lt;=IFERROR(INDEX('Intervals'!$F$4:$F$33,MATCH($B343,'Intervals'!$A$4:$A$33,0)),14))),"Due soon","OK")))</f>
        <v/>
      </c>
      <c r="N343" s="15" t="n"/>
      <c r="O343" s="22">
        <f>IF(OR($M343="",$M343="OK"),"",$L343+ROW()/100000)</f>
        <v/>
      </c>
    </row>
    <row r="344">
      <c r="A344" s="15" t="n"/>
      <c r="B344" s="15" t="n"/>
      <c r="C344" s="16">
        <f>IF($B344="","",IFERROR(INDEX('Intervals'!$B$4:$B$33,MATCH($B344,'Intervals'!$A$4:$A$33,0)),""))</f>
        <v/>
      </c>
      <c r="D344" s="17" t="n"/>
      <c r="E344" s="18" t="n"/>
      <c r="F344" s="19">
        <f>IF(OR($B344="",$E344=""),"",IFERROR(IF(AND(INDEX('Intervals'!$G$4:$G$33,MATCH($B344,'Intervals'!$A$4:$A$33,0))&lt;&gt;"No",N(INDEX('Intervals'!$C$4:$C$33,MATCH($B344,'Intervals'!$A$4:$A$33,0)))&gt;0),$E344+N(INDEX('Intervals'!$C$4:$C$33,MATCH($B344,'Intervals'!$A$4:$A$33,0))),""),""))</f>
        <v/>
      </c>
      <c r="G344" s="20">
        <f>IF(OR($B344="",$D344=""),"",IFERROR(IF(AND(INDEX('Intervals'!$G$4:$G$33,MATCH($B344,'Intervals'!$A$4:$A$33,0))&lt;&gt;"No",N(INDEX('Intervals'!$D$4:$D$33,MATCH($B344,'Intervals'!$A$4:$A$33,0)))&gt;0),EDATE($D344,N(INDEX('Intervals'!$D$4:$D$33,MATCH($B344,'Intervals'!$A$4:$A$33,0)))),""),""))</f>
        <v/>
      </c>
      <c r="H344" s="19">
        <f>IF($A344="","",IFERROR(IF(N(INDEX('Cars'!$H$4:$H$103,MATCH($A344,'Cars'!$A$4:$A$103,0)))&gt;0,INDEX('Cars'!$H$4:$H$103,MATCH($A344,'Cars'!$A$4:$A$103,0)),""),""))</f>
        <v/>
      </c>
      <c r="I344" s="19">
        <f>IF(OR($F344="",$H344=""),"",$F344-$H344)</f>
        <v/>
      </c>
      <c r="J344" s="21">
        <f>IF($G344="","",$G344-TODAY())</f>
        <v/>
      </c>
      <c r="K344" s="21">
        <f>IF($I344="","",IFERROR(IF(N(INDEX('Cars'!$J$4:$J$103,MATCH($A344,'Cars'!$A$4:$A$103,0)))&gt;0,ROUND($I344/INDEX('Cars'!$J$4:$J$103,MATCH($A344,'Cars'!$A$4:$A$103,0))*30,0),""),""))</f>
        <v/>
      </c>
      <c r="L344" s="21">
        <f>IF(AND($J344="",$K344=""),"",MIN(IF($J344="",99999,$J344),IF($K344="",99999,$K344)))</f>
        <v/>
      </c>
      <c r="M344" s="16">
        <f>IF(AND($I344="",$J344=""),"",IF(OR(AND($I344&lt;&gt;"",N($I344)&lt;0),AND($J344&lt;&gt;"",N($J344)&lt;0)),"Overdue",IF(OR(AND($I344&lt;&gt;"",N($I344)&lt;=IFERROR(INDEX('Intervals'!$E$4:$E$33,MATCH($B344,'Intervals'!$A$4:$A$33,0)),500)),AND($J344&lt;&gt;"",N($J344)&lt;=IFERROR(INDEX('Intervals'!$F$4:$F$33,MATCH($B344,'Intervals'!$A$4:$A$33,0)),14))),"Due soon","OK")))</f>
        <v/>
      </c>
      <c r="N344" s="15" t="n"/>
      <c r="O344" s="22">
        <f>IF(OR($M344="",$M344="OK"),"",$L344+ROW()/100000)</f>
        <v/>
      </c>
    </row>
    <row r="345">
      <c r="A345" s="15" t="n"/>
      <c r="B345" s="15" t="n"/>
      <c r="C345" s="16">
        <f>IF($B345="","",IFERROR(INDEX('Intervals'!$B$4:$B$33,MATCH($B345,'Intervals'!$A$4:$A$33,0)),""))</f>
        <v/>
      </c>
      <c r="D345" s="17" t="n"/>
      <c r="E345" s="18" t="n"/>
      <c r="F345" s="19">
        <f>IF(OR($B345="",$E345=""),"",IFERROR(IF(AND(INDEX('Intervals'!$G$4:$G$33,MATCH($B345,'Intervals'!$A$4:$A$33,0))&lt;&gt;"No",N(INDEX('Intervals'!$C$4:$C$33,MATCH($B345,'Intervals'!$A$4:$A$33,0)))&gt;0),$E345+N(INDEX('Intervals'!$C$4:$C$33,MATCH($B345,'Intervals'!$A$4:$A$33,0))),""),""))</f>
        <v/>
      </c>
      <c r="G345" s="20">
        <f>IF(OR($B345="",$D345=""),"",IFERROR(IF(AND(INDEX('Intervals'!$G$4:$G$33,MATCH($B345,'Intervals'!$A$4:$A$33,0))&lt;&gt;"No",N(INDEX('Intervals'!$D$4:$D$33,MATCH($B345,'Intervals'!$A$4:$A$33,0)))&gt;0),EDATE($D345,N(INDEX('Intervals'!$D$4:$D$33,MATCH($B345,'Intervals'!$A$4:$A$33,0)))),""),""))</f>
        <v/>
      </c>
      <c r="H345" s="19">
        <f>IF($A345="","",IFERROR(IF(N(INDEX('Cars'!$H$4:$H$103,MATCH($A345,'Cars'!$A$4:$A$103,0)))&gt;0,INDEX('Cars'!$H$4:$H$103,MATCH($A345,'Cars'!$A$4:$A$103,0)),""),""))</f>
        <v/>
      </c>
      <c r="I345" s="19">
        <f>IF(OR($F345="",$H345=""),"",$F345-$H345)</f>
        <v/>
      </c>
      <c r="J345" s="21">
        <f>IF($G345="","",$G345-TODAY())</f>
        <v/>
      </c>
      <c r="K345" s="21">
        <f>IF($I345="","",IFERROR(IF(N(INDEX('Cars'!$J$4:$J$103,MATCH($A345,'Cars'!$A$4:$A$103,0)))&gt;0,ROUND($I345/INDEX('Cars'!$J$4:$J$103,MATCH($A345,'Cars'!$A$4:$A$103,0))*30,0),""),""))</f>
        <v/>
      </c>
      <c r="L345" s="21">
        <f>IF(AND($J345="",$K345=""),"",MIN(IF($J345="",99999,$J345),IF($K345="",99999,$K345)))</f>
        <v/>
      </c>
      <c r="M345" s="16">
        <f>IF(AND($I345="",$J345=""),"",IF(OR(AND($I345&lt;&gt;"",N($I345)&lt;0),AND($J345&lt;&gt;"",N($J345)&lt;0)),"Overdue",IF(OR(AND($I345&lt;&gt;"",N($I345)&lt;=IFERROR(INDEX('Intervals'!$E$4:$E$33,MATCH($B345,'Intervals'!$A$4:$A$33,0)),500)),AND($J345&lt;&gt;"",N($J345)&lt;=IFERROR(INDEX('Intervals'!$F$4:$F$33,MATCH($B345,'Intervals'!$A$4:$A$33,0)),14))),"Due soon","OK")))</f>
        <v/>
      </c>
      <c r="N345" s="15" t="n"/>
      <c r="O345" s="22">
        <f>IF(OR($M345="",$M345="OK"),"",$L345+ROW()/100000)</f>
        <v/>
      </c>
    </row>
    <row r="346">
      <c r="A346" s="15" t="n"/>
      <c r="B346" s="15" t="n"/>
      <c r="C346" s="16">
        <f>IF($B346="","",IFERROR(INDEX('Intervals'!$B$4:$B$33,MATCH($B346,'Intervals'!$A$4:$A$33,0)),""))</f>
        <v/>
      </c>
      <c r="D346" s="17" t="n"/>
      <c r="E346" s="18" t="n"/>
      <c r="F346" s="19">
        <f>IF(OR($B346="",$E346=""),"",IFERROR(IF(AND(INDEX('Intervals'!$G$4:$G$33,MATCH($B346,'Intervals'!$A$4:$A$33,0))&lt;&gt;"No",N(INDEX('Intervals'!$C$4:$C$33,MATCH($B346,'Intervals'!$A$4:$A$33,0)))&gt;0),$E346+N(INDEX('Intervals'!$C$4:$C$33,MATCH($B346,'Intervals'!$A$4:$A$33,0))),""),""))</f>
        <v/>
      </c>
      <c r="G346" s="20">
        <f>IF(OR($B346="",$D346=""),"",IFERROR(IF(AND(INDEX('Intervals'!$G$4:$G$33,MATCH($B346,'Intervals'!$A$4:$A$33,0))&lt;&gt;"No",N(INDEX('Intervals'!$D$4:$D$33,MATCH($B346,'Intervals'!$A$4:$A$33,0)))&gt;0),EDATE($D346,N(INDEX('Intervals'!$D$4:$D$33,MATCH($B346,'Intervals'!$A$4:$A$33,0)))),""),""))</f>
        <v/>
      </c>
      <c r="H346" s="19">
        <f>IF($A346="","",IFERROR(IF(N(INDEX('Cars'!$H$4:$H$103,MATCH($A346,'Cars'!$A$4:$A$103,0)))&gt;0,INDEX('Cars'!$H$4:$H$103,MATCH($A346,'Cars'!$A$4:$A$103,0)),""),""))</f>
        <v/>
      </c>
      <c r="I346" s="19">
        <f>IF(OR($F346="",$H346=""),"",$F346-$H346)</f>
        <v/>
      </c>
      <c r="J346" s="21">
        <f>IF($G346="","",$G346-TODAY())</f>
        <v/>
      </c>
      <c r="K346" s="21">
        <f>IF($I346="","",IFERROR(IF(N(INDEX('Cars'!$J$4:$J$103,MATCH($A346,'Cars'!$A$4:$A$103,0)))&gt;0,ROUND($I346/INDEX('Cars'!$J$4:$J$103,MATCH($A346,'Cars'!$A$4:$A$103,0))*30,0),""),""))</f>
        <v/>
      </c>
      <c r="L346" s="21">
        <f>IF(AND($J346="",$K346=""),"",MIN(IF($J346="",99999,$J346),IF($K346="",99999,$K346)))</f>
        <v/>
      </c>
      <c r="M346" s="16">
        <f>IF(AND($I346="",$J346=""),"",IF(OR(AND($I346&lt;&gt;"",N($I346)&lt;0),AND($J346&lt;&gt;"",N($J346)&lt;0)),"Overdue",IF(OR(AND($I346&lt;&gt;"",N($I346)&lt;=IFERROR(INDEX('Intervals'!$E$4:$E$33,MATCH($B346,'Intervals'!$A$4:$A$33,0)),500)),AND($J346&lt;&gt;"",N($J346)&lt;=IFERROR(INDEX('Intervals'!$F$4:$F$33,MATCH($B346,'Intervals'!$A$4:$A$33,0)),14))),"Due soon","OK")))</f>
        <v/>
      </c>
      <c r="N346" s="15" t="n"/>
      <c r="O346" s="22">
        <f>IF(OR($M346="",$M346="OK"),"",$L346+ROW()/100000)</f>
        <v/>
      </c>
    </row>
    <row r="347">
      <c r="A347" s="15" t="n"/>
      <c r="B347" s="15" t="n"/>
      <c r="C347" s="16">
        <f>IF($B347="","",IFERROR(INDEX('Intervals'!$B$4:$B$33,MATCH($B347,'Intervals'!$A$4:$A$33,0)),""))</f>
        <v/>
      </c>
      <c r="D347" s="17" t="n"/>
      <c r="E347" s="18" t="n"/>
      <c r="F347" s="19">
        <f>IF(OR($B347="",$E347=""),"",IFERROR(IF(AND(INDEX('Intervals'!$G$4:$G$33,MATCH($B347,'Intervals'!$A$4:$A$33,0))&lt;&gt;"No",N(INDEX('Intervals'!$C$4:$C$33,MATCH($B347,'Intervals'!$A$4:$A$33,0)))&gt;0),$E347+N(INDEX('Intervals'!$C$4:$C$33,MATCH($B347,'Intervals'!$A$4:$A$33,0))),""),""))</f>
        <v/>
      </c>
      <c r="G347" s="20">
        <f>IF(OR($B347="",$D347=""),"",IFERROR(IF(AND(INDEX('Intervals'!$G$4:$G$33,MATCH($B347,'Intervals'!$A$4:$A$33,0))&lt;&gt;"No",N(INDEX('Intervals'!$D$4:$D$33,MATCH($B347,'Intervals'!$A$4:$A$33,0)))&gt;0),EDATE($D347,N(INDEX('Intervals'!$D$4:$D$33,MATCH($B347,'Intervals'!$A$4:$A$33,0)))),""),""))</f>
        <v/>
      </c>
      <c r="H347" s="19">
        <f>IF($A347="","",IFERROR(IF(N(INDEX('Cars'!$H$4:$H$103,MATCH($A347,'Cars'!$A$4:$A$103,0)))&gt;0,INDEX('Cars'!$H$4:$H$103,MATCH($A347,'Cars'!$A$4:$A$103,0)),""),""))</f>
        <v/>
      </c>
      <c r="I347" s="19">
        <f>IF(OR($F347="",$H347=""),"",$F347-$H347)</f>
        <v/>
      </c>
      <c r="J347" s="21">
        <f>IF($G347="","",$G347-TODAY())</f>
        <v/>
      </c>
      <c r="K347" s="21">
        <f>IF($I347="","",IFERROR(IF(N(INDEX('Cars'!$J$4:$J$103,MATCH($A347,'Cars'!$A$4:$A$103,0)))&gt;0,ROUND($I347/INDEX('Cars'!$J$4:$J$103,MATCH($A347,'Cars'!$A$4:$A$103,0))*30,0),""),""))</f>
        <v/>
      </c>
      <c r="L347" s="21">
        <f>IF(AND($J347="",$K347=""),"",MIN(IF($J347="",99999,$J347),IF($K347="",99999,$K347)))</f>
        <v/>
      </c>
      <c r="M347" s="16">
        <f>IF(AND($I347="",$J347=""),"",IF(OR(AND($I347&lt;&gt;"",N($I347)&lt;0),AND($J347&lt;&gt;"",N($J347)&lt;0)),"Overdue",IF(OR(AND($I347&lt;&gt;"",N($I347)&lt;=IFERROR(INDEX('Intervals'!$E$4:$E$33,MATCH($B347,'Intervals'!$A$4:$A$33,0)),500)),AND($J347&lt;&gt;"",N($J347)&lt;=IFERROR(INDEX('Intervals'!$F$4:$F$33,MATCH($B347,'Intervals'!$A$4:$A$33,0)),14))),"Due soon","OK")))</f>
        <v/>
      </c>
      <c r="N347" s="15" t="n"/>
      <c r="O347" s="22">
        <f>IF(OR($M347="",$M347="OK"),"",$L347+ROW()/100000)</f>
        <v/>
      </c>
    </row>
    <row r="348">
      <c r="A348" s="15" t="n"/>
      <c r="B348" s="15" t="n"/>
      <c r="C348" s="16">
        <f>IF($B348="","",IFERROR(INDEX('Intervals'!$B$4:$B$33,MATCH($B348,'Intervals'!$A$4:$A$33,0)),""))</f>
        <v/>
      </c>
      <c r="D348" s="17" t="n"/>
      <c r="E348" s="18" t="n"/>
      <c r="F348" s="19">
        <f>IF(OR($B348="",$E348=""),"",IFERROR(IF(AND(INDEX('Intervals'!$G$4:$G$33,MATCH($B348,'Intervals'!$A$4:$A$33,0))&lt;&gt;"No",N(INDEX('Intervals'!$C$4:$C$33,MATCH($B348,'Intervals'!$A$4:$A$33,0)))&gt;0),$E348+N(INDEX('Intervals'!$C$4:$C$33,MATCH($B348,'Intervals'!$A$4:$A$33,0))),""),""))</f>
        <v/>
      </c>
      <c r="G348" s="20">
        <f>IF(OR($B348="",$D348=""),"",IFERROR(IF(AND(INDEX('Intervals'!$G$4:$G$33,MATCH($B348,'Intervals'!$A$4:$A$33,0))&lt;&gt;"No",N(INDEX('Intervals'!$D$4:$D$33,MATCH($B348,'Intervals'!$A$4:$A$33,0)))&gt;0),EDATE($D348,N(INDEX('Intervals'!$D$4:$D$33,MATCH($B348,'Intervals'!$A$4:$A$33,0)))),""),""))</f>
        <v/>
      </c>
      <c r="H348" s="19">
        <f>IF($A348="","",IFERROR(IF(N(INDEX('Cars'!$H$4:$H$103,MATCH($A348,'Cars'!$A$4:$A$103,0)))&gt;0,INDEX('Cars'!$H$4:$H$103,MATCH($A348,'Cars'!$A$4:$A$103,0)),""),""))</f>
        <v/>
      </c>
      <c r="I348" s="19">
        <f>IF(OR($F348="",$H348=""),"",$F348-$H348)</f>
        <v/>
      </c>
      <c r="J348" s="21">
        <f>IF($G348="","",$G348-TODAY())</f>
        <v/>
      </c>
      <c r="K348" s="21">
        <f>IF($I348="","",IFERROR(IF(N(INDEX('Cars'!$J$4:$J$103,MATCH($A348,'Cars'!$A$4:$A$103,0)))&gt;0,ROUND($I348/INDEX('Cars'!$J$4:$J$103,MATCH($A348,'Cars'!$A$4:$A$103,0))*30,0),""),""))</f>
        <v/>
      </c>
      <c r="L348" s="21">
        <f>IF(AND($J348="",$K348=""),"",MIN(IF($J348="",99999,$J348),IF($K348="",99999,$K348)))</f>
        <v/>
      </c>
      <c r="M348" s="16">
        <f>IF(AND($I348="",$J348=""),"",IF(OR(AND($I348&lt;&gt;"",N($I348)&lt;0),AND($J348&lt;&gt;"",N($J348)&lt;0)),"Overdue",IF(OR(AND($I348&lt;&gt;"",N($I348)&lt;=IFERROR(INDEX('Intervals'!$E$4:$E$33,MATCH($B348,'Intervals'!$A$4:$A$33,0)),500)),AND($J348&lt;&gt;"",N($J348)&lt;=IFERROR(INDEX('Intervals'!$F$4:$F$33,MATCH($B348,'Intervals'!$A$4:$A$33,0)),14))),"Due soon","OK")))</f>
        <v/>
      </c>
      <c r="N348" s="15" t="n"/>
      <c r="O348" s="22">
        <f>IF(OR($M348="",$M348="OK"),"",$L348+ROW()/100000)</f>
        <v/>
      </c>
    </row>
    <row r="349">
      <c r="A349" s="15" t="n"/>
      <c r="B349" s="15" t="n"/>
      <c r="C349" s="16">
        <f>IF($B349="","",IFERROR(INDEX('Intervals'!$B$4:$B$33,MATCH($B349,'Intervals'!$A$4:$A$33,0)),""))</f>
        <v/>
      </c>
      <c r="D349" s="17" t="n"/>
      <c r="E349" s="18" t="n"/>
      <c r="F349" s="19">
        <f>IF(OR($B349="",$E349=""),"",IFERROR(IF(AND(INDEX('Intervals'!$G$4:$G$33,MATCH($B349,'Intervals'!$A$4:$A$33,0))&lt;&gt;"No",N(INDEX('Intervals'!$C$4:$C$33,MATCH($B349,'Intervals'!$A$4:$A$33,0)))&gt;0),$E349+N(INDEX('Intervals'!$C$4:$C$33,MATCH($B349,'Intervals'!$A$4:$A$33,0))),""),""))</f>
        <v/>
      </c>
      <c r="G349" s="20">
        <f>IF(OR($B349="",$D349=""),"",IFERROR(IF(AND(INDEX('Intervals'!$G$4:$G$33,MATCH($B349,'Intervals'!$A$4:$A$33,0))&lt;&gt;"No",N(INDEX('Intervals'!$D$4:$D$33,MATCH($B349,'Intervals'!$A$4:$A$33,0)))&gt;0),EDATE($D349,N(INDEX('Intervals'!$D$4:$D$33,MATCH($B349,'Intervals'!$A$4:$A$33,0)))),""),""))</f>
        <v/>
      </c>
      <c r="H349" s="19">
        <f>IF($A349="","",IFERROR(IF(N(INDEX('Cars'!$H$4:$H$103,MATCH($A349,'Cars'!$A$4:$A$103,0)))&gt;0,INDEX('Cars'!$H$4:$H$103,MATCH($A349,'Cars'!$A$4:$A$103,0)),""),""))</f>
        <v/>
      </c>
      <c r="I349" s="19">
        <f>IF(OR($F349="",$H349=""),"",$F349-$H349)</f>
        <v/>
      </c>
      <c r="J349" s="21">
        <f>IF($G349="","",$G349-TODAY())</f>
        <v/>
      </c>
      <c r="K349" s="21">
        <f>IF($I349="","",IFERROR(IF(N(INDEX('Cars'!$J$4:$J$103,MATCH($A349,'Cars'!$A$4:$A$103,0)))&gt;0,ROUND($I349/INDEX('Cars'!$J$4:$J$103,MATCH($A349,'Cars'!$A$4:$A$103,0))*30,0),""),""))</f>
        <v/>
      </c>
      <c r="L349" s="21">
        <f>IF(AND($J349="",$K349=""),"",MIN(IF($J349="",99999,$J349),IF($K349="",99999,$K349)))</f>
        <v/>
      </c>
      <c r="M349" s="16">
        <f>IF(AND($I349="",$J349=""),"",IF(OR(AND($I349&lt;&gt;"",N($I349)&lt;0),AND($J349&lt;&gt;"",N($J349)&lt;0)),"Overdue",IF(OR(AND($I349&lt;&gt;"",N($I349)&lt;=IFERROR(INDEX('Intervals'!$E$4:$E$33,MATCH($B349,'Intervals'!$A$4:$A$33,0)),500)),AND($J349&lt;&gt;"",N($J349)&lt;=IFERROR(INDEX('Intervals'!$F$4:$F$33,MATCH($B349,'Intervals'!$A$4:$A$33,0)),14))),"Due soon","OK")))</f>
        <v/>
      </c>
      <c r="N349" s="15" t="n"/>
      <c r="O349" s="22">
        <f>IF(OR($M349="",$M349="OK"),"",$L349+ROW()/100000)</f>
        <v/>
      </c>
    </row>
    <row r="350">
      <c r="A350" s="15" t="n"/>
      <c r="B350" s="15" t="n"/>
      <c r="C350" s="16">
        <f>IF($B350="","",IFERROR(INDEX('Intervals'!$B$4:$B$33,MATCH($B350,'Intervals'!$A$4:$A$33,0)),""))</f>
        <v/>
      </c>
      <c r="D350" s="17" t="n"/>
      <c r="E350" s="18" t="n"/>
      <c r="F350" s="19">
        <f>IF(OR($B350="",$E350=""),"",IFERROR(IF(AND(INDEX('Intervals'!$G$4:$G$33,MATCH($B350,'Intervals'!$A$4:$A$33,0))&lt;&gt;"No",N(INDEX('Intervals'!$C$4:$C$33,MATCH($B350,'Intervals'!$A$4:$A$33,0)))&gt;0),$E350+N(INDEX('Intervals'!$C$4:$C$33,MATCH($B350,'Intervals'!$A$4:$A$33,0))),""),""))</f>
        <v/>
      </c>
      <c r="G350" s="20">
        <f>IF(OR($B350="",$D350=""),"",IFERROR(IF(AND(INDEX('Intervals'!$G$4:$G$33,MATCH($B350,'Intervals'!$A$4:$A$33,0))&lt;&gt;"No",N(INDEX('Intervals'!$D$4:$D$33,MATCH($B350,'Intervals'!$A$4:$A$33,0)))&gt;0),EDATE($D350,N(INDEX('Intervals'!$D$4:$D$33,MATCH($B350,'Intervals'!$A$4:$A$33,0)))),""),""))</f>
        <v/>
      </c>
      <c r="H350" s="19">
        <f>IF($A350="","",IFERROR(IF(N(INDEX('Cars'!$H$4:$H$103,MATCH($A350,'Cars'!$A$4:$A$103,0)))&gt;0,INDEX('Cars'!$H$4:$H$103,MATCH($A350,'Cars'!$A$4:$A$103,0)),""),""))</f>
        <v/>
      </c>
      <c r="I350" s="19">
        <f>IF(OR($F350="",$H350=""),"",$F350-$H350)</f>
        <v/>
      </c>
      <c r="J350" s="21">
        <f>IF($G350="","",$G350-TODAY())</f>
        <v/>
      </c>
      <c r="K350" s="21">
        <f>IF($I350="","",IFERROR(IF(N(INDEX('Cars'!$J$4:$J$103,MATCH($A350,'Cars'!$A$4:$A$103,0)))&gt;0,ROUND($I350/INDEX('Cars'!$J$4:$J$103,MATCH($A350,'Cars'!$A$4:$A$103,0))*30,0),""),""))</f>
        <v/>
      </c>
      <c r="L350" s="21">
        <f>IF(AND($J350="",$K350=""),"",MIN(IF($J350="",99999,$J350),IF($K350="",99999,$K350)))</f>
        <v/>
      </c>
      <c r="M350" s="16">
        <f>IF(AND($I350="",$J350=""),"",IF(OR(AND($I350&lt;&gt;"",N($I350)&lt;0),AND($J350&lt;&gt;"",N($J350)&lt;0)),"Overdue",IF(OR(AND($I350&lt;&gt;"",N($I350)&lt;=IFERROR(INDEX('Intervals'!$E$4:$E$33,MATCH($B350,'Intervals'!$A$4:$A$33,0)),500)),AND($J350&lt;&gt;"",N($J350)&lt;=IFERROR(INDEX('Intervals'!$F$4:$F$33,MATCH($B350,'Intervals'!$A$4:$A$33,0)),14))),"Due soon","OK")))</f>
        <v/>
      </c>
      <c r="N350" s="15" t="n"/>
      <c r="O350" s="22">
        <f>IF(OR($M350="",$M350="OK"),"",$L350+ROW()/100000)</f>
        <v/>
      </c>
    </row>
    <row r="351">
      <c r="A351" s="15" t="n"/>
      <c r="B351" s="15" t="n"/>
      <c r="C351" s="16">
        <f>IF($B351="","",IFERROR(INDEX('Intervals'!$B$4:$B$33,MATCH($B351,'Intervals'!$A$4:$A$33,0)),""))</f>
        <v/>
      </c>
      <c r="D351" s="17" t="n"/>
      <c r="E351" s="18" t="n"/>
      <c r="F351" s="19">
        <f>IF(OR($B351="",$E351=""),"",IFERROR(IF(AND(INDEX('Intervals'!$G$4:$G$33,MATCH($B351,'Intervals'!$A$4:$A$33,0))&lt;&gt;"No",N(INDEX('Intervals'!$C$4:$C$33,MATCH($B351,'Intervals'!$A$4:$A$33,0)))&gt;0),$E351+N(INDEX('Intervals'!$C$4:$C$33,MATCH($B351,'Intervals'!$A$4:$A$33,0))),""),""))</f>
        <v/>
      </c>
      <c r="G351" s="20">
        <f>IF(OR($B351="",$D351=""),"",IFERROR(IF(AND(INDEX('Intervals'!$G$4:$G$33,MATCH($B351,'Intervals'!$A$4:$A$33,0))&lt;&gt;"No",N(INDEX('Intervals'!$D$4:$D$33,MATCH($B351,'Intervals'!$A$4:$A$33,0)))&gt;0),EDATE($D351,N(INDEX('Intervals'!$D$4:$D$33,MATCH($B351,'Intervals'!$A$4:$A$33,0)))),""),""))</f>
        <v/>
      </c>
      <c r="H351" s="19">
        <f>IF($A351="","",IFERROR(IF(N(INDEX('Cars'!$H$4:$H$103,MATCH($A351,'Cars'!$A$4:$A$103,0)))&gt;0,INDEX('Cars'!$H$4:$H$103,MATCH($A351,'Cars'!$A$4:$A$103,0)),""),""))</f>
        <v/>
      </c>
      <c r="I351" s="19">
        <f>IF(OR($F351="",$H351=""),"",$F351-$H351)</f>
        <v/>
      </c>
      <c r="J351" s="21">
        <f>IF($G351="","",$G351-TODAY())</f>
        <v/>
      </c>
      <c r="K351" s="21">
        <f>IF($I351="","",IFERROR(IF(N(INDEX('Cars'!$J$4:$J$103,MATCH($A351,'Cars'!$A$4:$A$103,0)))&gt;0,ROUND($I351/INDEX('Cars'!$J$4:$J$103,MATCH($A351,'Cars'!$A$4:$A$103,0))*30,0),""),""))</f>
        <v/>
      </c>
      <c r="L351" s="21">
        <f>IF(AND($J351="",$K351=""),"",MIN(IF($J351="",99999,$J351),IF($K351="",99999,$K351)))</f>
        <v/>
      </c>
      <c r="M351" s="16">
        <f>IF(AND($I351="",$J351=""),"",IF(OR(AND($I351&lt;&gt;"",N($I351)&lt;0),AND($J351&lt;&gt;"",N($J351)&lt;0)),"Overdue",IF(OR(AND($I351&lt;&gt;"",N($I351)&lt;=IFERROR(INDEX('Intervals'!$E$4:$E$33,MATCH($B351,'Intervals'!$A$4:$A$33,0)),500)),AND($J351&lt;&gt;"",N($J351)&lt;=IFERROR(INDEX('Intervals'!$F$4:$F$33,MATCH($B351,'Intervals'!$A$4:$A$33,0)),14))),"Due soon","OK")))</f>
        <v/>
      </c>
      <c r="N351" s="15" t="n"/>
      <c r="O351" s="22">
        <f>IF(OR($M351="",$M351="OK"),"",$L351+ROW()/100000)</f>
        <v/>
      </c>
    </row>
    <row r="352">
      <c r="A352" s="15" t="n"/>
      <c r="B352" s="15" t="n"/>
      <c r="C352" s="16">
        <f>IF($B352="","",IFERROR(INDEX('Intervals'!$B$4:$B$33,MATCH($B352,'Intervals'!$A$4:$A$33,0)),""))</f>
        <v/>
      </c>
      <c r="D352" s="17" t="n"/>
      <c r="E352" s="18" t="n"/>
      <c r="F352" s="19">
        <f>IF(OR($B352="",$E352=""),"",IFERROR(IF(AND(INDEX('Intervals'!$G$4:$G$33,MATCH($B352,'Intervals'!$A$4:$A$33,0))&lt;&gt;"No",N(INDEX('Intervals'!$C$4:$C$33,MATCH($B352,'Intervals'!$A$4:$A$33,0)))&gt;0),$E352+N(INDEX('Intervals'!$C$4:$C$33,MATCH($B352,'Intervals'!$A$4:$A$33,0))),""),""))</f>
        <v/>
      </c>
      <c r="G352" s="20">
        <f>IF(OR($B352="",$D352=""),"",IFERROR(IF(AND(INDEX('Intervals'!$G$4:$G$33,MATCH($B352,'Intervals'!$A$4:$A$33,0))&lt;&gt;"No",N(INDEX('Intervals'!$D$4:$D$33,MATCH($B352,'Intervals'!$A$4:$A$33,0)))&gt;0),EDATE($D352,N(INDEX('Intervals'!$D$4:$D$33,MATCH($B352,'Intervals'!$A$4:$A$33,0)))),""),""))</f>
        <v/>
      </c>
      <c r="H352" s="19">
        <f>IF($A352="","",IFERROR(IF(N(INDEX('Cars'!$H$4:$H$103,MATCH($A352,'Cars'!$A$4:$A$103,0)))&gt;0,INDEX('Cars'!$H$4:$H$103,MATCH($A352,'Cars'!$A$4:$A$103,0)),""),""))</f>
        <v/>
      </c>
      <c r="I352" s="19">
        <f>IF(OR($F352="",$H352=""),"",$F352-$H352)</f>
        <v/>
      </c>
      <c r="J352" s="21">
        <f>IF($G352="","",$G352-TODAY())</f>
        <v/>
      </c>
      <c r="K352" s="21">
        <f>IF($I352="","",IFERROR(IF(N(INDEX('Cars'!$J$4:$J$103,MATCH($A352,'Cars'!$A$4:$A$103,0)))&gt;0,ROUND($I352/INDEX('Cars'!$J$4:$J$103,MATCH($A352,'Cars'!$A$4:$A$103,0))*30,0),""),""))</f>
        <v/>
      </c>
      <c r="L352" s="21">
        <f>IF(AND($J352="",$K352=""),"",MIN(IF($J352="",99999,$J352),IF($K352="",99999,$K352)))</f>
        <v/>
      </c>
      <c r="M352" s="16">
        <f>IF(AND($I352="",$J352=""),"",IF(OR(AND($I352&lt;&gt;"",N($I352)&lt;0),AND($J352&lt;&gt;"",N($J352)&lt;0)),"Overdue",IF(OR(AND($I352&lt;&gt;"",N($I352)&lt;=IFERROR(INDEX('Intervals'!$E$4:$E$33,MATCH($B352,'Intervals'!$A$4:$A$33,0)),500)),AND($J352&lt;&gt;"",N($J352)&lt;=IFERROR(INDEX('Intervals'!$F$4:$F$33,MATCH($B352,'Intervals'!$A$4:$A$33,0)),14))),"Due soon","OK")))</f>
        <v/>
      </c>
      <c r="N352" s="15" t="n"/>
      <c r="O352" s="22">
        <f>IF(OR($M352="",$M352="OK"),"",$L352+ROW()/100000)</f>
        <v/>
      </c>
    </row>
    <row r="353">
      <c r="A353" s="15" t="n"/>
      <c r="B353" s="15" t="n"/>
      <c r="C353" s="16">
        <f>IF($B353="","",IFERROR(INDEX('Intervals'!$B$4:$B$33,MATCH($B353,'Intervals'!$A$4:$A$33,0)),""))</f>
        <v/>
      </c>
      <c r="D353" s="17" t="n"/>
      <c r="E353" s="18" t="n"/>
      <c r="F353" s="19">
        <f>IF(OR($B353="",$E353=""),"",IFERROR(IF(AND(INDEX('Intervals'!$G$4:$G$33,MATCH($B353,'Intervals'!$A$4:$A$33,0))&lt;&gt;"No",N(INDEX('Intervals'!$C$4:$C$33,MATCH($B353,'Intervals'!$A$4:$A$33,0)))&gt;0),$E353+N(INDEX('Intervals'!$C$4:$C$33,MATCH($B353,'Intervals'!$A$4:$A$33,0))),""),""))</f>
        <v/>
      </c>
      <c r="G353" s="20">
        <f>IF(OR($B353="",$D353=""),"",IFERROR(IF(AND(INDEX('Intervals'!$G$4:$G$33,MATCH($B353,'Intervals'!$A$4:$A$33,0))&lt;&gt;"No",N(INDEX('Intervals'!$D$4:$D$33,MATCH($B353,'Intervals'!$A$4:$A$33,0)))&gt;0),EDATE($D353,N(INDEX('Intervals'!$D$4:$D$33,MATCH($B353,'Intervals'!$A$4:$A$33,0)))),""),""))</f>
        <v/>
      </c>
      <c r="H353" s="19">
        <f>IF($A353="","",IFERROR(IF(N(INDEX('Cars'!$H$4:$H$103,MATCH($A353,'Cars'!$A$4:$A$103,0)))&gt;0,INDEX('Cars'!$H$4:$H$103,MATCH($A353,'Cars'!$A$4:$A$103,0)),""),""))</f>
        <v/>
      </c>
      <c r="I353" s="19">
        <f>IF(OR($F353="",$H353=""),"",$F353-$H353)</f>
        <v/>
      </c>
      <c r="J353" s="21">
        <f>IF($G353="","",$G353-TODAY())</f>
        <v/>
      </c>
      <c r="K353" s="21">
        <f>IF($I353="","",IFERROR(IF(N(INDEX('Cars'!$J$4:$J$103,MATCH($A353,'Cars'!$A$4:$A$103,0)))&gt;0,ROUND($I353/INDEX('Cars'!$J$4:$J$103,MATCH($A353,'Cars'!$A$4:$A$103,0))*30,0),""),""))</f>
        <v/>
      </c>
      <c r="L353" s="21">
        <f>IF(AND($J353="",$K353=""),"",MIN(IF($J353="",99999,$J353),IF($K353="",99999,$K353)))</f>
        <v/>
      </c>
      <c r="M353" s="16">
        <f>IF(AND($I353="",$J353=""),"",IF(OR(AND($I353&lt;&gt;"",N($I353)&lt;0),AND($J353&lt;&gt;"",N($J353)&lt;0)),"Overdue",IF(OR(AND($I353&lt;&gt;"",N($I353)&lt;=IFERROR(INDEX('Intervals'!$E$4:$E$33,MATCH($B353,'Intervals'!$A$4:$A$33,0)),500)),AND($J353&lt;&gt;"",N($J353)&lt;=IFERROR(INDEX('Intervals'!$F$4:$F$33,MATCH($B353,'Intervals'!$A$4:$A$33,0)),14))),"Due soon","OK")))</f>
        <v/>
      </c>
      <c r="N353" s="15" t="n"/>
      <c r="O353" s="22">
        <f>IF(OR($M353="",$M353="OK"),"",$L353+ROW()/100000)</f>
        <v/>
      </c>
    </row>
    <row r="354">
      <c r="A354" s="15" t="n"/>
      <c r="B354" s="15" t="n"/>
      <c r="C354" s="16">
        <f>IF($B354="","",IFERROR(INDEX('Intervals'!$B$4:$B$33,MATCH($B354,'Intervals'!$A$4:$A$33,0)),""))</f>
        <v/>
      </c>
      <c r="D354" s="17" t="n"/>
      <c r="E354" s="18" t="n"/>
      <c r="F354" s="19">
        <f>IF(OR($B354="",$E354=""),"",IFERROR(IF(AND(INDEX('Intervals'!$G$4:$G$33,MATCH($B354,'Intervals'!$A$4:$A$33,0))&lt;&gt;"No",N(INDEX('Intervals'!$C$4:$C$33,MATCH($B354,'Intervals'!$A$4:$A$33,0)))&gt;0),$E354+N(INDEX('Intervals'!$C$4:$C$33,MATCH($B354,'Intervals'!$A$4:$A$33,0))),""),""))</f>
        <v/>
      </c>
      <c r="G354" s="20">
        <f>IF(OR($B354="",$D354=""),"",IFERROR(IF(AND(INDEX('Intervals'!$G$4:$G$33,MATCH($B354,'Intervals'!$A$4:$A$33,0))&lt;&gt;"No",N(INDEX('Intervals'!$D$4:$D$33,MATCH($B354,'Intervals'!$A$4:$A$33,0)))&gt;0),EDATE($D354,N(INDEX('Intervals'!$D$4:$D$33,MATCH($B354,'Intervals'!$A$4:$A$33,0)))),""),""))</f>
        <v/>
      </c>
      <c r="H354" s="19">
        <f>IF($A354="","",IFERROR(IF(N(INDEX('Cars'!$H$4:$H$103,MATCH($A354,'Cars'!$A$4:$A$103,0)))&gt;0,INDEX('Cars'!$H$4:$H$103,MATCH($A354,'Cars'!$A$4:$A$103,0)),""),""))</f>
        <v/>
      </c>
      <c r="I354" s="19">
        <f>IF(OR($F354="",$H354=""),"",$F354-$H354)</f>
        <v/>
      </c>
      <c r="J354" s="21">
        <f>IF($G354="","",$G354-TODAY())</f>
        <v/>
      </c>
      <c r="K354" s="21">
        <f>IF($I354="","",IFERROR(IF(N(INDEX('Cars'!$J$4:$J$103,MATCH($A354,'Cars'!$A$4:$A$103,0)))&gt;0,ROUND($I354/INDEX('Cars'!$J$4:$J$103,MATCH($A354,'Cars'!$A$4:$A$103,0))*30,0),""),""))</f>
        <v/>
      </c>
      <c r="L354" s="21">
        <f>IF(AND($J354="",$K354=""),"",MIN(IF($J354="",99999,$J354),IF($K354="",99999,$K354)))</f>
        <v/>
      </c>
      <c r="M354" s="16">
        <f>IF(AND($I354="",$J354=""),"",IF(OR(AND($I354&lt;&gt;"",N($I354)&lt;0),AND($J354&lt;&gt;"",N($J354)&lt;0)),"Overdue",IF(OR(AND($I354&lt;&gt;"",N($I354)&lt;=IFERROR(INDEX('Intervals'!$E$4:$E$33,MATCH($B354,'Intervals'!$A$4:$A$33,0)),500)),AND($J354&lt;&gt;"",N($J354)&lt;=IFERROR(INDEX('Intervals'!$F$4:$F$33,MATCH($B354,'Intervals'!$A$4:$A$33,0)),14))),"Due soon","OK")))</f>
        <v/>
      </c>
      <c r="N354" s="15" t="n"/>
      <c r="O354" s="22">
        <f>IF(OR($M354="",$M354="OK"),"",$L354+ROW()/100000)</f>
        <v/>
      </c>
    </row>
    <row r="355">
      <c r="A355" s="15" t="n"/>
      <c r="B355" s="15" t="n"/>
      <c r="C355" s="16">
        <f>IF($B355="","",IFERROR(INDEX('Intervals'!$B$4:$B$33,MATCH($B355,'Intervals'!$A$4:$A$33,0)),""))</f>
        <v/>
      </c>
      <c r="D355" s="17" t="n"/>
      <c r="E355" s="18" t="n"/>
      <c r="F355" s="19">
        <f>IF(OR($B355="",$E355=""),"",IFERROR(IF(AND(INDEX('Intervals'!$G$4:$G$33,MATCH($B355,'Intervals'!$A$4:$A$33,0))&lt;&gt;"No",N(INDEX('Intervals'!$C$4:$C$33,MATCH($B355,'Intervals'!$A$4:$A$33,0)))&gt;0),$E355+N(INDEX('Intervals'!$C$4:$C$33,MATCH($B355,'Intervals'!$A$4:$A$33,0))),""),""))</f>
        <v/>
      </c>
      <c r="G355" s="20">
        <f>IF(OR($B355="",$D355=""),"",IFERROR(IF(AND(INDEX('Intervals'!$G$4:$G$33,MATCH($B355,'Intervals'!$A$4:$A$33,0))&lt;&gt;"No",N(INDEX('Intervals'!$D$4:$D$33,MATCH($B355,'Intervals'!$A$4:$A$33,0)))&gt;0),EDATE($D355,N(INDEX('Intervals'!$D$4:$D$33,MATCH($B355,'Intervals'!$A$4:$A$33,0)))),""),""))</f>
        <v/>
      </c>
      <c r="H355" s="19">
        <f>IF($A355="","",IFERROR(IF(N(INDEX('Cars'!$H$4:$H$103,MATCH($A355,'Cars'!$A$4:$A$103,0)))&gt;0,INDEX('Cars'!$H$4:$H$103,MATCH($A355,'Cars'!$A$4:$A$103,0)),""),""))</f>
        <v/>
      </c>
      <c r="I355" s="19">
        <f>IF(OR($F355="",$H355=""),"",$F355-$H355)</f>
        <v/>
      </c>
      <c r="J355" s="21">
        <f>IF($G355="","",$G355-TODAY())</f>
        <v/>
      </c>
      <c r="K355" s="21">
        <f>IF($I355="","",IFERROR(IF(N(INDEX('Cars'!$J$4:$J$103,MATCH($A355,'Cars'!$A$4:$A$103,0)))&gt;0,ROUND($I355/INDEX('Cars'!$J$4:$J$103,MATCH($A355,'Cars'!$A$4:$A$103,0))*30,0),""),""))</f>
        <v/>
      </c>
      <c r="L355" s="21">
        <f>IF(AND($J355="",$K355=""),"",MIN(IF($J355="",99999,$J355),IF($K355="",99999,$K355)))</f>
        <v/>
      </c>
      <c r="M355" s="16">
        <f>IF(AND($I355="",$J355=""),"",IF(OR(AND($I355&lt;&gt;"",N($I355)&lt;0),AND($J355&lt;&gt;"",N($J355)&lt;0)),"Overdue",IF(OR(AND($I355&lt;&gt;"",N($I355)&lt;=IFERROR(INDEX('Intervals'!$E$4:$E$33,MATCH($B355,'Intervals'!$A$4:$A$33,0)),500)),AND($J355&lt;&gt;"",N($J355)&lt;=IFERROR(INDEX('Intervals'!$F$4:$F$33,MATCH($B355,'Intervals'!$A$4:$A$33,0)),14))),"Due soon","OK")))</f>
        <v/>
      </c>
      <c r="N355" s="15" t="n"/>
      <c r="O355" s="22">
        <f>IF(OR($M355="",$M355="OK"),"",$L355+ROW()/100000)</f>
        <v/>
      </c>
    </row>
    <row r="356">
      <c r="A356" s="15" t="n"/>
      <c r="B356" s="15" t="n"/>
      <c r="C356" s="16">
        <f>IF($B356="","",IFERROR(INDEX('Intervals'!$B$4:$B$33,MATCH($B356,'Intervals'!$A$4:$A$33,0)),""))</f>
        <v/>
      </c>
      <c r="D356" s="17" t="n"/>
      <c r="E356" s="18" t="n"/>
      <c r="F356" s="19">
        <f>IF(OR($B356="",$E356=""),"",IFERROR(IF(AND(INDEX('Intervals'!$G$4:$G$33,MATCH($B356,'Intervals'!$A$4:$A$33,0))&lt;&gt;"No",N(INDEX('Intervals'!$C$4:$C$33,MATCH($B356,'Intervals'!$A$4:$A$33,0)))&gt;0),$E356+N(INDEX('Intervals'!$C$4:$C$33,MATCH($B356,'Intervals'!$A$4:$A$33,0))),""),""))</f>
        <v/>
      </c>
      <c r="G356" s="20">
        <f>IF(OR($B356="",$D356=""),"",IFERROR(IF(AND(INDEX('Intervals'!$G$4:$G$33,MATCH($B356,'Intervals'!$A$4:$A$33,0))&lt;&gt;"No",N(INDEX('Intervals'!$D$4:$D$33,MATCH($B356,'Intervals'!$A$4:$A$33,0)))&gt;0),EDATE($D356,N(INDEX('Intervals'!$D$4:$D$33,MATCH($B356,'Intervals'!$A$4:$A$33,0)))),""),""))</f>
        <v/>
      </c>
      <c r="H356" s="19">
        <f>IF($A356="","",IFERROR(IF(N(INDEX('Cars'!$H$4:$H$103,MATCH($A356,'Cars'!$A$4:$A$103,0)))&gt;0,INDEX('Cars'!$H$4:$H$103,MATCH($A356,'Cars'!$A$4:$A$103,0)),""),""))</f>
        <v/>
      </c>
      <c r="I356" s="19">
        <f>IF(OR($F356="",$H356=""),"",$F356-$H356)</f>
        <v/>
      </c>
      <c r="J356" s="21">
        <f>IF($G356="","",$G356-TODAY())</f>
        <v/>
      </c>
      <c r="K356" s="21">
        <f>IF($I356="","",IFERROR(IF(N(INDEX('Cars'!$J$4:$J$103,MATCH($A356,'Cars'!$A$4:$A$103,0)))&gt;0,ROUND($I356/INDEX('Cars'!$J$4:$J$103,MATCH($A356,'Cars'!$A$4:$A$103,0))*30,0),""),""))</f>
        <v/>
      </c>
      <c r="L356" s="21">
        <f>IF(AND($J356="",$K356=""),"",MIN(IF($J356="",99999,$J356),IF($K356="",99999,$K356)))</f>
        <v/>
      </c>
      <c r="M356" s="16">
        <f>IF(AND($I356="",$J356=""),"",IF(OR(AND($I356&lt;&gt;"",N($I356)&lt;0),AND($J356&lt;&gt;"",N($J356)&lt;0)),"Overdue",IF(OR(AND($I356&lt;&gt;"",N($I356)&lt;=IFERROR(INDEX('Intervals'!$E$4:$E$33,MATCH($B356,'Intervals'!$A$4:$A$33,0)),500)),AND($J356&lt;&gt;"",N($J356)&lt;=IFERROR(INDEX('Intervals'!$F$4:$F$33,MATCH($B356,'Intervals'!$A$4:$A$33,0)),14))),"Due soon","OK")))</f>
        <v/>
      </c>
      <c r="N356" s="15" t="n"/>
      <c r="O356" s="22">
        <f>IF(OR($M356="",$M356="OK"),"",$L356+ROW()/100000)</f>
        <v/>
      </c>
    </row>
    <row r="357">
      <c r="A357" s="15" t="n"/>
      <c r="B357" s="15" t="n"/>
      <c r="C357" s="16">
        <f>IF($B357="","",IFERROR(INDEX('Intervals'!$B$4:$B$33,MATCH($B357,'Intervals'!$A$4:$A$33,0)),""))</f>
        <v/>
      </c>
      <c r="D357" s="17" t="n"/>
      <c r="E357" s="18" t="n"/>
      <c r="F357" s="19">
        <f>IF(OR($B357="",$E357=""),"",IFERROR(IF(AND(INDEX('Intervals'!$G$4:$G$33,MATCH($B357,'Intervals'!$A$4:$A$33,0))&lt;&gt;"No",N(INDEX('Intervals'!$C$4:$C$33,MATCH($B357,'Intervals'!$A$4:$A$33,0)))&gt;0),$E357+N(INDEX('Intervals'!$C$4:$C$33,MATCH($B357,'Intervals'!$A$4:$A$33,0))),""),""))</f>
        <v/>
      </c>
      <c r="G357" s="20">
        <f>IF(OR($B357="",$D357=""),"",IFERROR(IF(AND(INDEX('Intervals'!$G$4:$G$33,MATCH($B357,'Intervals'!$A$4:$A$33,0))&lt;&gt;"No",N(INDEX('Intervals'!$D$4:$D$33,MATCH($B357,'Intervals'!$A$4:$A$33,0)))&gt;0),EDATE($D357,N(INDEX('Intervals'!$D$4:$D$33,MATCH($B357,'Intervals'!$A$4:$A$33,0)))),""),""))</f>
        <v/>
      </c>
      <c r="H357" s="19">
        <f>IF($A357="","",IFERROR(IF(N(INDEX('Cars'!$H$4:$H$103,MATCH($A357,'Cars'!$A$4:$A$103,0)))&gt;0,INDEX('Cars'!$H$4:$H$103,MATCH($A357,'Cars'!$A$4:$A$103,0)),""),""))</f>
        <v/>
      </c>
      <c r="I357" s="19">
        <f>IF(OR($F357="",$H357=""),"",$F357-$H357)</f>
        <v/>
      </c>
      <c r="J357" s="21">
        <f>IF($G357="","",$G357-TODAY())</f>
        <v/>
      </c>
      <c r="K357" s="21">
        <f>IF($I357="","",IFERROR(IF(N(INDEX('Cars'!$J$4:$J$103,MATCH($A357,'Cars'!$A$4:$A$103,0)))&gt;0,ROUND($I357/INDEX('Cars'!$J$4:$J$103,MATCH($A357,'Cars'!$A$4:$A$103,0))*30,0),""),""))</f>
        <v/>
      </c>
      <c r="L357" s="21">
        <f>IF(AND($J357="",$K357=""),"",MIN(IF($J357="",99999,$J357),IF($K357="",99999,$K357)))</f>
        <v/>
      </c>
      <c r="M357" s="16">
        <f>IF(AND($I357="",$J357=""),"",IF(OR(AND($I357&lt;&gt;"",N($I357)&lt;0),AND($J357&lt;&gt;"",N($J357)&lt;0)),"Overdue",IF(OR(AND($I357&lt;&gt;"",N($I357)&lt;=IFERROR(INDEX('Intervals'!$E$4:$E$33,MATCH($B357,'Intervals'!$A$4:$A$33,0)),500)),AND($J357&lt;&gt;"",N($J357)&lt;=IFERROR(INDEX('Intervals'!$F$4:$F$33,MATCH($B357,'Intervals'!$A$4:$A$33,0)),14))),"Due soon","OK")))</f>
        <v/>
      </c>
      <c r="N357" s="15" t="n"/>
      <c r="O357" s="22">
        <f>IF(OR($M357="",$M357="OK"),"",$L357+ROW()/100000)</f>
        <v/>
      </c>
    </row>
    <row r="358">
      <c r="A358" s="15" t="n"/>
      <c r="B358" s="15" t="n"/>
      <c r="C358" s="16">
        <f>IF($B358="","",IFERROR(INDEX('Intervals'!$B$4:$B$33,MATCH($B358,'Intervals'!$A$4:$A$33,0)),""))</f>
        <v/>
      </c>
      <c r="D358" s="17" t="n"/>
      <c r="E358" s="18" t="n"/>
      <c r="F358" s="19">
        <f>IF(OR($B358="",$E358=""),"",IFERROR(IF(AND(INDEX('Intervals'!$G$4:$G$33,MATCH($B358,'Intervals'!$A$4:$A$33,0))&lt;&gt;"No",N(INDEX('Intervals'!$C$4:$C$33,MATCH($B358,'Intervals'!$A$4:$A$33,0)))&gt;0),$E358+N(INDEX('Intervals'!$C$4:$C$33,MATCH($B358,'Intervals'!$A$4:$A$33,0))),""),""))</f>
        <v/>
      </c>
      <c r="G358" s="20">
        <f>IF(OR($B358="",$D358=""),"",IFERROR(IF(AND(INDEX('Intervals'!$G$4:$G$33,MATCH($B358,'Intervals'!$A$4:$A$33,0))&lt;&gt;"No",N(INDEX('Intervals'!$D$4:$D$33,MATCH($B358,'Intervals'!$A$4:$A$33,0)))&gt;0),EDATE($D358,N(INDEX('Intervals'!$D$4:$D$33,MATCH($B358,'Intervals'!$A$4:$A$33,0)))),""),""))</f>
        <v/>
      </c>
      <c r="H358" s="19">
        <f>IF($A358="","",IFERROR(IF(N(INDEX('Cars'!$H$4:$H$103,MATCH($A358,'Cars'!$A$4:$A$103,0)))&gt;0,INDEX('Cars'!$H$4:$H$103,MATCH($A358,'Cars'!$A$4:$A$103,0)),""),""))</f>
        <v/>
      </c>
      <c r="I358" s="19">
        <f>IF(OR($F358="",$H358=""),"",$F358-$H358)</f>
        <v/>
      </c>
      <c r="J358" s="21">
        <f>IF($G358="","",$G358-TODAY())</f>
        <v/>
      </c>
      <c r="K358" s="21">
        <f>IF($I358="","",IFERROR(IF(N(INDEX('Cars'!$J$4:$J$103,MATCH($A358,'Cars'!$A$4:$A$103,0)))&gt;0,ROUND($I358/INDEX('Cars'!$J$4:$J$103,MATCH($A358,'Cars'!$A$4:$A$103,0))*30,0),""),""))</f>
        <v/>
      </c>
      <c r="L358" s="21">
        <f>IF(AND($J358="",$K358=""),"",MIN(IF($J358="",99999,$J358),IF($K358="",99999,$K358)))</f>
        <v/>
      </c>
      <c r="M358" s="16">
        <f>IF(AND($I358="",$J358=""),"",IF(OR(AND($I358&lt;&gt;"",N($I358)&lt;0),AND($J358&lt;&gt;"",N($J358)&lt;0)),"Overdue",IF(OR(AND($I358&lt;&gt;"",N($I358)&lt;=IFERROR(INDEX('Intervals'!$E$4:$E$33,MATCH($B358,'Intervals'!$A$4:$A$33,0)),500)),AND($J358&lt;&gt;"",N($J358)&lt;=IFERROR(INDEX('Intervals'!$F$4:$F$33,MATCH($B358,'Intervals'!$A$4:$A$33,0)),14))),"Due soon","OK")))</f>
        <v/>
      </c>
      <c r="N358" s="15" t="n"/>
      <c r="O358" s="22">
        <f>IF(OR($M358="",$M358="OK"),"",$L358+ROW()/100000)</f>
        <v/>
      </c>
    </row>
    <row r="359">
      <c r="A359" s="15" t="n"/>
      <c r="B359" s="15" t="n"/>
      <c r="C359" s="16">
        <f>IF($B359="","",IFERROR(INDEX('Intervals'!$B$4:$B$33,MATCH($B359,'Intervals'!$A$4:$A$33,0)),""))</f>
        <v/>
      </c>
      <c r="D359" s="17" t="n"/>
      <c r="E359" s="18" t="n"/>
      <c r="F359" s="19">
        <f>IF(OR($B359="",$E359=""),"",IFERROR(IF(AND(INDEX('Intervals'!$G$4:$G$33,MATCH($B359,'Intervals'!$A$4:$A$33,0))&lt;&gt;"No",N(INDEX('Intervals'!$C$4:$C$33,MATCH($B359,'Intervals'!$A$4:$A$33,0)))&gt;0),$E359+N(INDEX('Intervals'!$C$4:$C$33,MATCH($B359,'Intervals'!$A$4:$A$33,0))),""),""))</f>
        <v/>
      </c>
      <c r="G359" s="20">
        <f>IF(OR($B359="",$D359=""),"",IFERROR(IF(AND(INDEX('Intervals'!$G$4:$G$33,MATCH($B359,'Intervals'!$A$4:$A$33,0))&lt;&gt;"No",N(INDEX('Intervals'!$D$4:$D$33,MATCH($B359,'Intervals'!$A$4:$A$33,0)))&gt;0),EDATE($D359,N(INDEX('Intervals'!$D$4:$D$33,MATCH($B359,'Intervals'!$A$4:$A$33,0)))),""),""))</f>
        <v/>
      </c>
      <c r="H359" s="19">
        <f>IF($A359="","",IFERROR(IF(N(INDEX('Cars'!$H$4:$H$103,MATCH($A359,'Cars'!$A$4:$A$103,0)))&gt;0,INDEX('Cars'!$H$4:$H$103,MATCH($A359,'Cars'!$A$4:$A$103,0)),""),""))</f>
        <v/>
      </c>
      <c r="I359" s="19">
        <f>IF(OR($F359="",$H359=""),"",$F359-$H359)</f>
        <v/>
      </c>
      <c r="J359" s="21">
        <f>IF($G359="","",$G359-TODAY())</f>
        <v/>
      </c>
      <c r="K359" s="21">
        <f>IF($I359="","",IFERROR(IF(N(INDEX('Cars'!$J$4:$J$103,MATCH($A359,'Cars'!$A$4:$A$103,0)))&gt;0,ROUND($I359/INDEX('Cars'!$J$4:$J$103,MATCH($A359,'Cars'!$A$4:$A$103,0))*30,0),""),""))</f>
        <v/>
      </c>
      <c r="L359" s="21">
        <f>IF(AND($J359="",$K359=""),"",MIN(IF($J359="",99999,$J359),IF($K359="",99999,$K359)))</f>
        <v/>
      </c>
      <c r="M359" s="16">
        <f>IF(AND($I359="",$J359=""),"",IF(OR(AND($I359&lt;&gt;"",N($I359)&lt;0),AND($J359&lt;&gt;"",N($J359)&lt;0)),"Overdue",IF(OR(AND($I359&lt;&gt;"",N($I359)&lt;=IFERROR(INDEX('Intervals'!$E$4:$E$33,MATCH($B359,'Intervals'!$A$4:$A$33,0)),500)),AND($J359&lt;&gt;"",N($J359)&lt;=IFERROR(INDEX('Intervals'!$F$4:$F$33,MATCH($B359,'Intervals'!$A$4:$A$33,0)),14))),"Due soon","OK")))</f>
        <v/>
      </c>
      <c r="N359" s="15" t="n"/>
      <c r="O359" s="22">
        <f>IF(OR($M359="",$M359="OK"),"",$L359+ROW()/100000)</f>
        <v/>
      </c>
    </row>
    <row r="360">
      <c r="A360" s="15" t="n"/>
      <c r="B360" s="15" t="n"/>
      <c r="C360" s="16">
        <f>IF($B360="","",IFERROR(INDEX('Intervals'!$B$4:$B$33,MATCH($B360,'Intervals'!$A$4:$A$33,0)),""))</f>
        <v/>
      </c>
      <c r="D360" s="17" t="n"/>
      <c r="E360" s="18" t="n"/>
      <c r="F360" s="19">
        <f>IF(OR($B360="",$E360=""),"",IFERROR(IF(AND(INDEX('Intervals'!$G$4:$G$33,MATCH($B360,'Intervals'!$A$4:$A$33,0))&lt;&gt;"No",N(INDEX('Intervals'!$C$4:$C$33,MATCH($B360,'Intervals'!$A$4:$A$33,0)))&gt;0),$E360+N(INDEX('Intervals'!$C$4:$C$33,MATCH($B360,'Intervals'!$A$4:$A$33,0))),""),""))</f>
        <v/>
      </c>
      <c r="G360" s="20">
        <f>IF(OR($B360="",$D360=""),"",IFERROR(IF(AND(INDEX('Intervals'!$G$4:$G$33,MATCH($B360,'Intervals'!$A$4:$A$33,0))&lt;&gt;"No",N(INDEX('Intervals'!$D$4:$D$33,MATCH($B360,'Intervals'!$A$4:$A$33,0)))&gt;0),EDATE($D360,N(INDEX('Intervals'!$D$4:$D$33,MATCH($B360,'Intervals'!$A$4:$A$33,0)))),""),""))</f>
        <v/>
      </c>
      <c r="H360" s="19">
        <f>IF($A360="","",IFERROR(IF(N(INDEX('Cars'!$H$4:$H$103,MATCH($A360,'Cars'!$A$4:$A$103,0)))&gt;0,INDEX('Cars'!$H$4:$H$103,MATCH($A360,'Cars'!$A$4:$A$103,0)),""),""))</f>
        <v/>
      </c>
      <c r="I360" s="19">
        <f>IF(OR($F360="",$H360=""),"",$F360-$H360)</f>
        <v/>
      </c>
      <c r="J360" s="21">
        <f>IF($G360="","",$G360-TODAY())</f>
        <v/>
      </c>
      <c r="K360" s="21">
        <f>IF($I360="","",IFERROR(IF(N(INDEX('Cars'!$J$4:$J$103,MATCH($A360,'Cars'!$A$4:$A$103,0)))&gt;0,ROUND($I360/INDEX('Cars'!$J$4:$J$103,MATCH($A360,'Cars'!$A$4:$A$103,0))*30,0),""),""))</f>
        <v/>
      </c>
      <c r="L360" s="21">
        <f>IF(AND($J360="",$K360=""),"",MIN(IF($J360="",99999,$J360),IF($K360="",99999,$K360)))</f>
        <v/>
      </c>
      <c r="M360" s="16">
        <f>IF(AND($I360="",$J360=""),"",IF(OR(AND($I360&lt;&gt;"",N($I360)&lt;0),AND($J360&lt;&gt;"",N($J360)&lt;0)),"Overdue",IF(OR(AND($I360&lt;&gt;"",N($I360)&lt;=IFERROR(INDEX('Intervals'!$E$4:$E$33,MATCH($B360,'Intervals'!$A$4:$A$33,0)),500)),AND($J360&lt;&gt;"",N($J360)&lt;=IFERROR(INDEX('Intervals'!$F$4:$F$33,MATCH($B360,'Intervals'!$A$4:$A$33,0)),14))),"Due soon","OK")))</f>
        <v/>
      </c>
      <c r="N360" s="15" t="n"/>
      <c r="O360" s="22">
        <f>IF(OR($M360="",$M360="OK"),"",$L360+ROW()/100000)</f>
        <v/>
      </c>
    </row>
    <row r="361">
      <c r="A361" s="15" t="n"/>
      <c r="B361" s="15" t="n"/>
      <c r="C361" s="16">
        <f>IF($B361="","",IFERROR(INDEX('Intervals'!$B$4:$B$33,MATCH($B361,'Intervals'!$A$4:$A$33,0)),""))</f>
        <v/>
      </c>
      <c r="D361" s="17" t="n"/>
      <c r="E361" s="18" t="n"/>
      <c r="F361" s="19">
        <f>IF(OR($B361="",$E361=""),"",IFERROR(IF(AND(INDEX('Intervals'!$G$4:$G$33,MATCH($B361,'Intervals'!$A$4:$A$33,0))&lt;&gt;"No",N(INDEX('Intervals'!$C$4:$C$33,MATCH($B361,'Intervals'!$A$4:$A$33,0)))&gt;0),$E361+N(INDEX('Intervals'!$C$4:$C$33,MATCH($B361,'Intervals'!$A$4:$A$33,0))),""),""))</f>
        <v/>
      </c>
      <c r="G361" s="20">
        <f>IF(OR($B361="",$D361=""),"",IFERROR(IF(AND(INDEX('Intervals'!$G$4:$G$33,MATCH($B361,'Intervals'!$A$4:$A$33,0))&lt;&gt;"No",N(INDEX('Intervals'!$D$4:$D$33,MATCH($B361,'Intervals'!$A$4:$A$33,0)))&gt;0),EDATE($D361,N(INDEX('Intervals'!$D$4:$D$33,MATCH($B361,'Intervals'!$A$4:$A$33,0)))),""),""))</f>
        <v/>
      </c>
      <c r="H361" s="19">
        <f>IF($A361="","",IFERROR(IF(N(INDEX('Cars'!$H$4:$H$103,MATCH($A361,'Cars'!$A$4:$A$103,0)))&gt;0,INDEX('Cars'!$H$4:$H$103,MATCH($A361,'Cars'!$A$4:$A$103,0)),""),""))</f>
        <v/>
      </c>
      <c r="I361" s="19">
        <f>IF(OR($F361="",$H361=""),"",$F361-$H361)</f>
        <v/>
      </c>
      <c r="J361" s="21">
        <f>IF($G361="","",$G361-TODAY())</f>
        <v/>
      </c>
      <c r="K361" s="21">
        <f>IF($I361="","",IFERROR(IF(N(INDEX('Cars'!$J$4:$J$103,MATCH($A361,'Cars'!$A$4:$A$103,0)))&gt;0,ROUND($I361/INDEX('Cars'!$J$4:$J$103,MATCH($A361,'Cars'!$A$4:$A$103,0))*30,0),""),""))</f>
        <v/>
      </c>
      <c r="L361" s="21">
        <f>IF(AND($J361="",$K361=""),"",MIN(IF($J361="",99999,$J361),IF($K361="",99999,$K361)))</f>
        <v/>
      </c>
      <c r="M361" s="16">
        <f>IF(AND($I361="",$J361=""),"",IF(OR(AND($I361&lt;&gt;"",N($I361)&lt;0),AND($J361&lt;&gt;"",N($J361)&lt;0)),"Overdue",IF(OR(AND($I361&lt;&gt;"",N($I361)&lt;=IFERROR(INDEX('Intervals'!$E$4:$E$33,MATCH($B361,'Intervals'!$A$4:$A$33,0)),500)),AND($J361&lt;&gt;"",N($J361)&lt;=IFERROR(INDEX('Intervals'!$F$4:$F$33,MATCH($B361,'Intervals'!$A$4:$A$33,0)),14))),"Due soon","OK")))</f>
        <v/>
      </c>
      <c r="N361" s="15" t="n"/>
      <c r="O361" s="22">
        <f>IF(OR($M361="",$M361="OK"),"",$L361+ROW()/100000)</f>
        <v/>
      </c>
    </row>
    <row r="362">
      <c r="A362" s="15" t="n"/>
      <c r="B362" s="15" t="n"/>
      <c r="C362" s="16">
        <f>IF($B362="","",IFERROR(INDEX('Intervals'!$B$4:$B$33,MATCH($B362,'Intervals'!$A$4:$A$33,0)),""))</f>
        <v/>
      </c>
      <c r="D362" s="17" t="n"/>
      <c r="E362" s="18" t="n"/>
      <c r="F362" s="19">
        <f>IF(OR($B362="",$E362=""),"",IFERROR(IF(AND(INDEX('Intervals'!$G$4:$G$33,MATCH($B362,'Intervals'!$A$4:$A$33,0))&lt;&gt;"No",N(INDEX('Intervals'!$C$4:$C$33,MATCH($B362,'Intervals'!$A$4:$A$33,0)))&gt;0),$E362+N(INDEX('Intervals'!$C$4:$C$33,MATCH($B362,'Intervals'!$A$4:$A$33,0))),""),""))</f>
        <v/>
      </c>
      <c r="G362" s="20">
        <f>IF(OR($B362="",$D362=""),"",IFERROR(IF(AND(INDEX('Intervals'!$G$4:$G$33,MATCH($B362,'Intervals'!$A$4:$A$33,0))&lt;&gt;"No",N(INDEX('Intervals'!$D$4:$D$33,MATCH($B362,'Intervals'!$A$4:$A$33,0)))&gt;0),EDATE($D362,N(INDEX('Intervals'!$D$4:$D$33,MATCH($B362,'Intervals'!$A$4:$A$33,0)))),""),""))</f>
        <v/>
      </c>
      <c r="H362" s="19">
        <f>IF($A362="","",IFERROR(IF(N(INDEX('Cars'!$H$4:$H$103,MATCH($A362,'Cars'!$A$4:$A$103,0)))&gt;0,INDEX('Cars'!$H$4:$H$103,MATCH($A362,'Cars'!$A$4:$A$103,0)),""),""))</f>
        <v/>
      </c>
      <c r="I362" s="19">
        <f>IF(OR($F362="",$H362=""),"",$F362-$H362)</f>
        <v/>
      </c>
      <c r="J362" s="21">
        <f>IF($G362="","",$G362-TODAY())</f>
        <v/>
      </c>
      <c r="K362" s="21">
        <f>IF($I362="","",IFERROR(IF(N(INDEX('Cars'!$J$4:$J$103,MATCH($A362,'Cars'!$A$4:$A$103,0)))&gt;0,ROUND($I362/INDEX('Cars'!$J$4:$J$103,MATCH($A362,'Cars'!$A$4:$A$103,0))*30,0),""),""))</f>
        <v/>
      </c>
      <c r="L362" s="21">
        <f>IF(AND($J362="",$K362=""),"",MIN(IF($J362="",99999,$J362),IF($K362="",99999,$K362)))</f>
        <v/>
      </c>
      <c r="M362" s="16">
        <f>IF(AND($I362="",$J362=""),"",IF(OR(AND($I362&lt;&gt;"",N($I362)&lt;0),AND($J362&lt;&gt;"",N($J362)&lt;0)),"Overdue",IF(OR(AND($I362&lt;&gt;"",N($I362)&lt;=IFERROR(INDEX('Intervals'!$E$4:$E$33,MATCH($B362,'Intervals'!$A$4:$A$33,0)),500)),AND($J362&lt;&gt;"",N($J362)&lt;=IFERROR(INDEX('Intervals'!$F$4:$F$33,MATCH($B362,'Intervals'!$A$4:$A$33,0)),14))),"Due soon","OK")))</f>
        <v/>
      </c>
      <c r="N362" s="15" t="n"/>
      <c r="O362" s="22">
        <f>IF(OR($M362="",$M362="OK"),"",$L362+ROW()/100000)</f>
        <v/>
      </c>
    </row>
    <row r="363">
      <c r="A363" s="15" t="n"/>
      <c r="B363" s="15" t="n"/>
      <c r="C363" s="16">
        <f>IF($B363="","",IFERROR(INDEX('Intervals'!$B$4:$B$33,MATCH($B363,'Intervals'!$A$4:$A$33,0)),""))</f>
        <v/>
      </c>
      <c r="D363" s="17" t="n"/>
      <c r="E363" s="18" t="n"/>
      <c r="F363" s="19">
        <f>IF(OR($B363="",$E363=""),"",IFERROR(IF(AND(INDEX('Intervals'!$G$4:$G$33,MATCH($B363,'Intervals'!$A$4:$A$33,0))&lt;&gt;"No",N(INDEX('Intervals'!$C$4:$C$33,MATCH($B363,'Intervals'!$A$4:$A$33,0)))&gt;0),$E363+N(INDEX('Intervals'!$C$4:$C$33,MATCH($B363,'Intervals'!$A$4:$A$33,0))),""),""))</f>
        <v/>
      </c>
      <c r="G363" s="20">
        <f>IF(OR($B363="",$D363=""),"",IFERROR(IF(AND(INDEX('Intervals'!$G$4:$G$33,MATCH($B363,'Intervals'!$A$4:$A$33,0))&lt;&gt;"No",N(INDEX('Intervals'!$D$4:$D$33,MATCH($B363,'Intervals'!$A$4:$A$33,0)))&gt;0),EDATE($D363,N(INDEX('Intervals'!$D$4:$D$33,MATCH($B363,'Intervals'!$A$4:$A$33,0)))),""),""))</f>
        <v/>
      </c>
      <c r="H363" s="19">
        <f>IF($A363="","",IFERROR(IF(N(INDEX('Cars'!$H$4:$H$103,MATCH($A363,'Cars'!$A$4:$A$103,0)))&gt;0,INDEX('Cars'!$H$4:$H$103,MATCH($A363,'Cars'!$A$4:$A$103,0)),""),""))</f>
        <v/>
      </c>
      <c r="I363" s="19">
        <f>IF(OR($F363="",$H363=""),"",$F363-$H363)</f>
        <v/>
      </c>
      <c r="J363" s="21">
        <f>IF($G363="","",$G363-TODAY())</f>
        <v/>
      </c>
      <c r="K363" s="21">
        <f>IF($I363="","",IFERROR(IF(N(INDEX('Cars'!$J$4:$J$103,MATCH($A363,'Cars'!$A$4:$A$103,0)))&gt;0,ROUND($I363/INDEX('Cars'!$J$4:$J$103,MATCH($A363,'Cars'!$A$4:$A$103,0))*30,0),""),""))</f>
        <v/>
      </c>
      <c r="L363" s="21">
        <f>IF(AND($J363="",$K363=""),"",MIN(IF($J363="",99999,$J363),IF($K363="",99999,$K363)))</f>
        <v/>
      </c>
      <c r="M363" s="16">
        <f>IF(AND($I363="",$J363=""),"",IF(OR(AND($I363&lt;&gt;"",N($I363)&lt;0),AND($J363&lt;&gt;"",N($J363)&lt;0)),"Overdue",IF(OR(AND($I363&lt;&gt;"",N($I363)&lt;=IFERROR(INDEX('Intervals'!$E$4:$E$33,MATCH($B363,'Intervals'!$A$4:$A$33,0)),500)),AND($J363&lt;&gt;"",N($J363)&lt;=IFERROR(INDEX('Intervals'!$F$4:$F$33,MATCH($B363,'Intervals'!$A$4:$A$33,0)),14))),"Due soon","OK")))</f>
        <v/>
      </c>
      <c r="N363" s="15" t="n"/>
      <c r="O363" s="22">
        <f>IF(OR($M363="",$M363="OK"),"",$L363+ROW()/100000)</f>
        <v/>
      </c>
    </row>
    <row r="364">
      <c r="A364" s="15" t="n"/>
      <c r="B364" s="15" t="n"/>
      <c r="C364" s="16">
        <f>IF($B364="","",IFERROR(INDEX('Intervals'!$B$4:$B$33,MATCH($B364,'Intervals'!$A$4:$A$33,0)),""))</f>
        <v/>
      </c>
      <c r="D364" s="17" t="n"/>
      <c r="E364" s="18" t="n"/>
      <c r="F364" s="19">
        <f>IF(OR($B364="",$E364=""),"",IFERROR(IF(AND(INDEX('Intervals'!$G$4:$G$33,MATCH($B364,'Intervals'!$A$4:$A$33,0))&lt;&gt;"No",N(INDEX('Intervals'!$C$4:$C$33,MATCH($B364,'Intervals'!$A$4:$A$33,0)))&gt;0),$E364+N(INDEX('Intervals'!$C$4:$C$33,MATCH($B364,'Intervals'!$A$4:$A$33,0))),""),""))</f>
        <v/>
      </c>
      <c r="G364" s="20">
        <f>IF(OR($B364="",$D364=""),"",IFERROR(IF(AND(INDEX('Intervals'!$G$4:$G$33,MATCH($B364,'Intervals'!$A$4:$A$33,0))&lt;&gt;"No",N(INDEX('Intervals'!$D$4:$D$33,MATCH($B364,'Intervals'!$A$4:$A$33,0)))&gt;0),EDATE($D364,N(INDEX('Intervals'!$D$4:$D$33,MATCH($B364,'Intervals'!$A$4:$A$33,0)))),""),""))</f>
        <v/>
      </c>
      <c r="H364" s="19">
        <f>IF($A364="","",IFERROR(IF(N(INDEX('Cars'!$H$4:$H$103,MATCH($A364,'Cars'!$A$4:$A$103,0)))&gt;0,INDEX('Cars'!$H$4:$H$103,MATCH($A364,'Cars'!$A$4:$A$103,0)),""),""))</f>
        <v/>
      </c>
      <c r="I364" s="19">
        <f>IF(OR($F364="",$H364=""),"",$F364-$H364)</f>
        <v/>
      </c>
      <c r="J364" s="21">
        <f>IF($G364="","",$G364-TODAY())</f>
        <v/>
      </c>
      <c r="K364" s="21">
        <f>IF($I364="","",IFERROR(IF(N(INDEX('Cars'!$J$4:$J$103,MATCH($A364,'Cars'!$A$4:$A$103,0)))&gt;0,ROUND($I364/INDEX('Cars'!$J$4:$J$103,MATCH($A364,'Cars'!$A$4:$A$103,0))*30,0),""),""))</f>
        <v/>
      </c>
      <c r="L364" s="21">
        <f>IF(AND($J364="",$K364=""),"",MIN(IF($J364="",99999,$J364),IF($K364="",99999,$K364)))</f>
        <v/>
      </c>
      <c r="M364" s="16">
        <f>IF(AND($I364="",$J364=""),"",IF(OR(AND($I364&lt;&gt;"",N($I364)&lt;0),AND($J364&lt;&gt;"",N($J364)&lt;0)),"Overdue",IF(OR(AND($I364&lt;&gt;"",N($I364)&lt;=IFERROR(INDEX('Intervals'!$E$4:$E$33,MATCH($B364,'Intervals'!$A$4:$A$33,0)),500)),AND($J364&lt;&gt;"",N($J364)&lt;=IFERROR(INDEX('Intervals'!$F$4:$F$33,MATCH($B364,'Intervals'!$A$4:$A$33,0)),14))),"Due soon","OK")))</f>
        <v/>
      </c>
      <c r="N364" s="15" t="n"/>
      <c r="O364" s="22">
        <f>IF(OR($M364="",$M364="OK"),"",$L364+ROW()/100000)</f>
        <v/>
      </c>
    </row>
    <row r="365">
      <c r="A365" s="15" t="n"/>
      <c r="B365" s="15" t="n"/>
      <c r="C365" s="16">
        <f>IF($B365="","",IFERROR(INDEX('Intervals'!$B$4:$B$33,MATCH($B365,'Intervals'!$A$4:$A$33,0)),""))</f>
        <v/>
      </c>
      <c r="D365" s="17" t="n"/>
      <c r="E365" s="18" t="n"/>
      <c r="F365" s="19">
        <f>IF(OR($B365="",$E365=""),"",IFERROR(IF(AND(INDEX('Intervals'!$G$4:$G$33,MATCH($B365,'Intervals'!$A$4:$A$33,0))&lt;&gt;"No",N(INDEX('Intervals'!$C$4:$C$33,MATCH($B365,'Intervals'!$A$4:$A$33,0)))&gt;0),$E365+N(INDEX('Intervals'!$C$4:$C$33,MATCH($B365,'Intervals'!$A$4:$A$33,0))),""),""))</f>
        <v/>
      </c>
      <c r="G365" s="20">
        <f>IF(OR($B365="",$D365=""),"",IFERROR(IF(AND(INDEX('Intervals'!$G$4:$G$33,MATCH($B365,'Intervals'!$A$4:$A$33,0))&lt;&gt;"No",N(INDEX('Intervals'!$D$4:$D$33,MATCH($B365,'Intervals'!$A$4:$A$33,0)))&gt;0),EDATE($D365,N(INDEX('Intervals'!$D$4:$D$33,MATCH($B365,'Intervals'!$A$4:$A$33,0)))),""),""))</f>
        <v/>
      </c>
      <c r="H365" s="19">
        <f>IF($A365="","",IFERROR(IF(N(INDEX('Cars'!$H$4:$H$103,MATCH($A365,'Cars'!$A$4:$A$103,0)))&gt;0,INDEX('Cars'!$H$4:$H$103,MATCH($A365,'Cars'!$A$4:$A$103,0)),""),""))</f>
        <v/>
      </c>
      <c r="I365" s="19">
        <f>IF(OR($F365="",$H365=""),"",$F365-$H365)</f>
        <v/>
      </c>
      <c r="J365" s="21">
        <f>IF($G365="","",$G365-TODAY())</f>
        <v/>
      </c>
      <c r="K365" s="21">
        <f>IF($I365="","",IFERROR(IF(N(INDEX('Cars'!$J$4:$J$103,MATCH($A365,'Cars'!$A$4:$A$103,0)))&gt;0,ROUND($I365/INDEX('Cars'!$J$4:$J$103,MATCH($A365,'Cars'!$A$4:$A$103,0))*30,0),""),""))</f>
        <v/>
      </c>
      <c r="L365" s="21">
        <f>IF(AND($J365="",$K365=""),"",MIN(IF($J365="",99999,$J365),IF($K365="",99999,$K365)))</f>
        <v/>
      </c>
      <c r="M365" s="16">
        <f>IF(AND($I365="",$J365=""),"",IF(OR(AND($I365&lt;&gt;"",N($I365)&lt;0),AND($J365&lt;&gt;"",N($J365)&lt;0)),"Overdue",IF(OR(AND($I365&lt;&gt;"",N($I365)&lt;=IFERROR(INDEX('Intervals'!$E$4:$E$33,MATCH($B365,'Intervals'!$A$4:$A$33,0)),500)),AND($J365&lt;&gt;"",N($J365)&lt;=IFERROR(INDEX('Intervals'!$F$4:$F$33,MATCH($B365,'Intervals'!$A$4:$A$33,0)),14))),"Due soon","OK")))</f>
        <v/>
      </c>
      <c r="N365" s="15" t="n"/>
      <c r="O365" s="22">
        <f>IF(OR($M365="",$M365="OK"),"",$L365+ROW()/100000)</f>
        <v/>
      </c>
    </row>
    <row r="366">
      <c r="A366" s="15" t="n"/>
      <c r="B366" s="15" t="n"/>
      <c r="C366" s="16">
        <f>IF($B366="","",IFERROR(INDEX('Intervals'!$B$4:$B$33,MATCH($B366,'Intervals'!$A$4:$A$33,0)),""))</f>
        <v/>
      </c>
      <c r="D366" s="17" t="n"/>
      <c r="E366" s="18" t="n"/>
      <c r="F366" s="19">
        <f>IF(OR($B366="",$E366=""),"",IFERROR(IF(AND(INDEX('Intervals'!$G$4:$G$33,MATCH($B366,'Intervals'!$A$4:$A$33,0))&lt;&gt;"No",N(INDEX('Intervals'!$C$4:$C$33,MATCH($B366,'Intervals'!$A$4:$A$33,0)))&gt;0),$E366+N(INDEX('Intervals'!$C$4:$C$33,MATCH($B366,'Intervals'!$A$4:$A$33,0))),""),""))</f>
        <v/>
      </c>
      <c r="G366" s="20">
        <f>IF(OR($B366="",$D366=""),"",IFERROR(IF(AND(INDEX('Intervals'!$G$4:$G$33,MATCH($B366,'Intervals'!$A$4:$A$33,0))&lt;&gt;"No",N(INDEX('Intervals'!$D$4:$D$33,MATCH($B366,'Intervals'!$A$4:$A$33,0)))&gt;0),EDATE($D366,N(INDEX('Intervals'!$D$4:$D$33,MATCH($B366,'Intervals'!$A$4:$A$33,0)))),""),""))</f>
        <v/>
      </c>
      <c r="H366" s="19">
        <f>IF($A366="","",IFERROR(IF(N(INDEX('Cars'!$H$4:$H$103,MATCH($A366,'Cars'!$A$4:$A$103,0)))&gt;0,INDEX('Cars'!$H$4:$H$103,MATCH($A366,'Cars'!$A$4:$A$103,0)),""),""))</f>
        <v/>
      </c>
      <c r="I366" s="19">
        <f>IF(OR($F366="",$H366=""),"",$F366-$H366)</f>
        <v/>
      </c>
      <c r="J366" s="21">
        <f>IF($G366="","",$G366-TODAY())</f>
        <v/>
      </c>
      <c r="K366" s="21">
        <f>IF($I366="","",IFERROR(IF(N(INDEX('Cars'!$J$4:$J$103,MATCH($A366,'Cars'!$A$4:$A$103,0)))&gt;0,ROUND($I366/INDEX('Cars'!$J$4:$J$103,MATCH($A366,'Cars'!$A$4:$A$103,0))*30,0),""),""))</f>
        <v/>
      </c>
      <c r="L366" s="21">
        <f>IF(AND($J366="",$K366=""),"",MIN(IF($J366="",99999,$J366),IF($K366="",99999,$K366)))</f>
        <v/>
      </c>
      <c r="M366" s="16">
        <f>IF(AND($I366="",$J366=""),"",IF(OR(AND($I366&lt;&gt;"",N($I366)&lt;0),AND($J366&lt;&gt;"",N($J366)&lt;0)),"Overdue",IF(OR(AND($I366&lt;&gt;"",N($I366)&lt;=IFERROR(INDEX('Intervals'!$E$4:$E$33,MATCH($B366,'Intervals'!$A$4:$A$33,0)),500)),AND($J366&lt;&gt;"",N($J366)&lt;=IFERROR(INDEX('Intervals'!$F$4:$F$33,MATCH($B366,'Intervals'!$A$4:$A$33,0)),14))),"Due soon","OK")))</f>
        <v/>
      </c>
      <c r="N366" s="15" t="n"/>
      <c r="O366" s="22">
        <f>IF(OR($M366="",$M366="OK"),"",$L366+ROW()/100000)</f>
        <v/>
      </c>
    </row>
    <row r="367">
      <c r="A367" s="15" t="n"/>
      <c r="B367" s="15" t="n"/>
      <c r="C367" s="16">
        <f>IF($B367="","",IFERROR(INDEX('Intervals'!$B$4:$B$33,MATCH($B367,'Intervals'!$A$4:$A$33,0)),""))</f>
        <v/>
      </c>
      <c r="D367" s="17" t="n"/>
      <c r="E367" s="18" t="n"/>
      <c r="F367" s="19">
        <f>IF(OR($B367="",$E367=""),"",IFERROR(IF(AND(INDEX('Intervals'!$G$4:$G$33,MATCH($B367,'Intervals'!$A$4:$A$33,0))&lt;&gt;"No",N(INDEX('Intervals'!$C$4:$C$33,MATCH($B367,'Intervals'!$A$4:$A$33,0)))&gt;0),$E367+N(INDEX('Intervals'!$C$4:$C$33,MATCH($B367,'Intervals'!$A$4:$A$33,0))),""),""))</f>
        <v/>
      </c>
      <c r="G367" s="20">
        <f>IF(OR($B367="",$D367=""),"",IFERROR(IF(AND(INDEX('Intervals'!$G$4:$G$33,MATCH($B367,'Intervals'!$A$4:$A$33,0))&lt;&gt;"No",N(INDEX('Intervals'!$D$4:$D$33,MATCH($B367,'Intervals'!$A$4:$A$33,0)))&gt;0),EDATE($D367,N(INDEX('Intervals'!$D$4:$D$33,MATCH($B367,'Intervals'!$A$4:$A$33,0)))),""),""))</f>
        <v/>
      </c>
      <c r="H367" s="19">
        <f>IF($A367="","",IFERROR(IF(N(INDEX('Cars'!$H$4:$H$103,MATCH($A367,'Cars'!$A$4:$A$103,0)))&gt;0,INDEX('Cars'!$H$4:$H$103,MATCH($A367,'Cars'!$A$4:$A$103,0)),""),""))</f>
        <v/>
      </c>
      <c r="I367" s="19">
        <f>IF(OR($F367="",$H367=""),"",$F367-$H367)</f>
        <v/>
      </c>
      <c r="J367" s="21">
        <f>IF($G367="","",$G367-TODAY())</f>
        <v/>
      </c>
      <c r="K367" s="21">
        <f>IF($I367="","",IFERROR(IF(N(INDEX('Cars'!$J$4:$J$103,MATCH($A367,'Cars'!$A$4:$A$103,0)))&gt;0,ROUND($I367/INDEX('Cars'!$J$4:$J$103,MATCH($A367,'Cars'!$A$4:$A$103,0))*30,0),""),""))</f>
        <v/>
      </c>
      <c r="L367" s="21">
        <f>IF(AND($J367="",$K367=""),"",MIN(IF($J367="",99999,$J367),IF($K367="",99999,$K367)))</f>
        <v/>
      </c>
      <c r="M367" s="16">
        <f>IF(AND($I367="",$J367=""),"",IF(OR(AND($I367&lt;&gt;"",N($I367)&lt;0),AND($J367&lt;&gt;"",N($J367)&lt;0)),"Overdue",IF(OR(AND($I367&lt;&gt;"",N($I367)&lt;=IFERROR(INDEX('Intervals'!$E$4:$E$33,MATCH($B367,'Intervals'!$A$4:$A$33,0)),500)),AND($J367&lt;&gt;"",N($J367)&lt;=IFERROR(INDEX('Intervals'!$F$4:$F$33,MATCH($B367,'Intervals'!$A$4:$A$33,0)),14))),"Due soon","OK")))</f>
        <v/>
      </c>
      <c r="N367" s="15" t="n"/>
      <c r="O367" s="22">
        <f>IF(OR($M367="",$M367="OK"),"",$L367+ROW()/100000)</f>
        <v/>
      </c>
    </row>
    <row r="368">
      <c r="A368" s="15" t="n"/>
      <c r="B368" s="15" t="n"/>
      <c r="C368" s="16">
        <f>IF($B368="","",IFERROR(INDEX('Intervals'!$B$4:$B$33,MATCH($B368,'Intervals'!$A$4:$A$33,0)),""))</f>
        <v/>
      </c>
      <c r="D368" s="17" t="n"/>
      <c r="E368" s="18" t="n"/>
      <c r="F368" s="19">
        <f>IF(OR($B368="",$E368=""),"",IFERROR(IF(AND(INDEX('Intervals'!$G$4:$G$33,MATCH($B368,'Intervals'!$A$4:$A$33,0))&lt;&gt;"No",N(INDEX('Intervals'!$C$4:$C$33,MATCH($B368,'Intervals'!$A$4:$A$33,0)))&gt;0),$E368+N(INDEX('Intervals'!$C$4:$C$33,MATCH($B368,'Intervals'!$A$4:$A$33,0))),""),""))</f>
        <v/>
      </c>
      <c r="G368" s="20">
        <f>IF(OR($B368="",$D368=""),"",IFERROR(IF(AND(INDEX('Intervals'!$G$4:$G$33,MATCH($B368,'Intervals'!$A$4:$A$33,0))&lt;&gt;"No",N(INDEX('Intervals'!$D$4:$D$33,MATCH($B368,'Intervals'!$A$4:$A$33,0)))&gt;0),EDATE($D368,N(INDEX('Intervals'!$D$4:$D$33,MATCH($B368,'Intervals'!$A$4:$A$33,0)))),""),""))</f>
        <v/>
      </c>
      <c r="H368" s="19">
        <f>IF($A368="","",IFERROR(IF(N(INDEX('Cars'!$H$4:$H$103,MATCH($A368,'Cars'!$A$4:$A$103,0)))&gt;0,INDEX('Cars'!$H$4:$H$103,MATCH($A368,'Cars'!$A$4:$A$103,0)),""),""))</f>
        <v/>
      </c>
      <c r="I368" s="19">
        <f>IF(OR($F368="",$H368=""),"",$F368-$H368)</f>
        <v/>
      </c>
      <c r="J368" s="21">
        <f>IF($G368="","",$G368-TODAY())</f>
        <v/>
      </c>
      <c r="K368" s="21">
        <f>IF($I368="","",IFERROR(IF(N(INDEX('Cars'!$J$4:$J$103,MATCH($A368,'Cars'!$A$4:$A$103,0)))&gt;0,ROUND($I368/INDEX('Cars'!$J$4:$J$103,MATCH($A368,'Cars'!$A$4:$A$103,0))*30,0),""),""))</f>
        <v/>
      </c>
      <c r="L368" s="21">
        <f>IF(AND($J368="",$K368=""),"",MIN(IF($J368="",99999,$J368),IF($K368="",99999,$K368)))</f>
        <v/>
      </c>
      <c r="M368" s="16">
        <f>IF(AND($I368="",$J368=""),"",IF(OR(AND($I368&lt;&gt;"",N($I368)&lt;0),AND($J368&lt;&gt;"",N($J368)&lt;0)),"Overdue",IF(OR(AND($I368&lt;&gt;"",N($I368)&lt;=IFERROR(INDEX('Intervals'!$E$4:$E$33,MATCH($B368,'Intervals'!$A$4:$A$33,0)),500)),AND($J368&lt;&gt;"",N($J368)&lt;=IFERROR(INDEX('Intervals'!$F$4:$F$33,MATCH($B368,'Intervals'!$A$4:$A$33,0)),14))),"Due soon","OK")))</f>
        <v/>
      </c>
      <c r="N368" s="15" t="n"/>
      <c r="O368" s="22">
        <f>IF(OR($M368="",$M368="OK"),"",$L368+ROW()/100000)</f>
        <v/>
      </c>
    </row>
    <row r="369">
      <c r="A369" s="15" t="n"/>
      <c r="B369" s="15" t="n"/>
      <c r="C369" s="16">
        <f>IF($B369="","",IFERROR(INDEX('Intervals'!$B$4:$B$33,MATCH($B369,'Intervals'!$A$4:$A$33,0)),""))</f>
        <v/>
      </c>
      <c r="D369" s="17" t="n"/>
      <c r="E369" s="18" t="n"/>
      <c r="F369" s="19">
        <f>IF(OR($B369="",$E369=""),"",IFERROR(IF(AND(INDEX('Intervals'!$G$4:$G$33,MATCH($B369,'Intervals'!$A$4:$A$33,0))&lt;&gt;"No",N(INDEX('Intervals'!$C$4:$C$33,MATCH($B369,'Intervals'!$A$4:$A$33,0)))&gt;0),$E369+N(INDEX('Intervals'!$C$4:$C$33,MATCH($B369,'Intervals'!$A$4:$A$33,0))),""),""))</f>
        <v/>
      </c>
      <c r="G369" s="20">
        <f>IF(OR($B369="",$D369=""),"",IFERROR(IF(AND(INDEX('Intervals'!$G$4:$G$33,MATCH($B369,'Intervals'!$A$4:$A$33,0))&lt;&gt;"No",N(INDEX('Intervals'!$D$4:$D$33,MATCH($B369,'Intervals'!$A$4:$A$33,0)))&gt;0),EDATE($D369,N(INDEX('Intervals'!$D$4:$D$33,MATCH($B369,'Intervals'!$A$4:$A$33,0)))),""),""))</f>
        <v/>
      </c>
      <c r="H369" s="19">
        <f>IF($A369="","",IFERROR(IF(N(INDEX('Cars'!$H$4:$H$103,MATCH($A369,'Cars'!$A$4:$A$103,0)))&gt;0,INDEX('Cars'!$H$4:$H$103,MATCH($A369,'Cars'!$A$4:$A$103,0)),""),""))</f>
        <v/>
      </c>
      <c r="I369" s="19">
        <f>IF(OR($F369="",$H369=""),"",$F369-$H369)</f>
        <v/>
      </c>
      <c r="J369" s="21">
        <f>IF($G369="","",$G369-TODAY())</f>
        <v/>
      </c>
      <c r="K369" s="21">
        <f>IF($I369="","",IFERROR(IF(N(INDEX('Cars'!$J$4:$J$103,MATCH($A369,'Cars'!$A$4:$A$103,0)))&gt;0,ROUND($I369/INDEX('Cars'!$J$4:$J$103,MATCH($A369,'Cars'!$A$4:$A$103,0))*30,0),""),""))</f>
        <v/>
      </c>
      <c r="L369" s="21">
        <f>IF(AND($J369="",$K369=""),"",MIN(IF($J369="",99999,$J369),IF($K369="",99999,$K369)))</f>
        <v/>
      </c>
      <c r="M369" s="16">
        <f>IF(AND($I369="",$J369=""),"",IF(OR(AND($I369&lt;&gt;"",N($I369)&lt;0),AND($J369&lt;&gt;"",N($J369)&lt;0)),"Overdue",IF(OR(AND($I369&lt;&gt;"",N($I369)&lt;=IFERROR(INDEX('Intervals'!$E$4:$E$33,MATCH($B369,'Intervals'!$A$4:$A$33,0)),500)),AND($J369&lt;&gt;"",N($J369)&lt;=IFERROR(INDEX('Intervals'!$F$4:$F$33,MATCH($B369,'Intervals'!$A$4:$A$33,0)),14))),"Due soon","OK")))</f>
        <v/>
      </c>
      <c r="N369" s="15" t="n"/>
      <c r="O369" s="22">
        <f>IF(OR($M369="",$M369="OK"),"",$L369+ROW()/100000)</f>
        <v/>
      </c>
    </row>
    <row r="370">
      <c r="A370" s="15" t="n"/>
      <c r="B370" s="15" t="n"/>
      <c r="C370" s="16">
        <f>IF($B370="","",IFERROR(INDEX('Intervals'!$B$4:$B$33,MATCH($B370,'Intervals'!$A$4:$A$33,0)),""))</f>
        <v/>
      </c>
      <c r="D370" s="17" t="n"/>
      <c r="E370" s="18" t="n"/>
      <c r="F370" s="19">
        <f>IF(OR($B370="",$E370=""),"",IFERROR(IF(AND(INDEX('Intervals'!$G$4:$G$33,MATCH($B370,'Intervals'!$A$4:$A$33,0))&lt;&gt;"No",N(INDEX('Intervals'!$C$4:$C$33,MATCH($B370,'Intervals'!$A$4:$A$33,0)))&gt;0),$E370+N(INDEX('Intervals'!$C$4:$C$33,MATCH($B370,'Intervals'!$A$4:$A$33,0))),""),""))</f>
        <v/>
      </c>
      <c r="G370" s="20">
        <f>IF(OR($B370="",$D370=""),"",IFERROR(IF(AND(INDEX('Intervals'!$G$4:$G$33,MATCH($B370,'Intervals'!$A$4:$A$33,0))&lt;&gt;"No",N(INDEX('Intervals'!$D$4:$D$33,MATCH($B370,'Intervals'!$A$4:$A$33,0)))&gt;0),EDATE($D370,N(INDEX('Intervals'!$D$4:$D$33,MATCH($B370,'Intervals'!$A$4:$A$33,0)))),""),""))</f>
        <v/>
      </c>
      <c r="H370" s="19">
        <f>IF($A370="","",IFERROR(IF(N(INDEX('Cars'!$H$4:$H$103,MATCH($A370,'Cars'!$A$4:$A$103,0)))&gt;0,INDEX('Cars'!$H$4:$H$103,MATCH($A370,'Cars'!$A$4:$A$103,0)),""),""))</f>
        <v/>
      </c>
      <c r="I370" s="19">
        <f>IF(OR($F370="",$H370=""),"",$F370-$H370)</f>
        <v/>
      </c>
      <c r="J370" s="21">
        <f>IF($G370="","",$G370-TODAY())</f>
        <v/>
      </c>
      <c r="K370" s="21">
        <f>IF($I370="","",IFERROR(IF(N(INDEX('Cars'!$J$4:$J$103,MATCH($A370,'Cars'!$A$4:$A$103,0)))&gt;0,ROUND($I370/INDEX('Cars'!$J$4:$J$103,MATCH($A370,'Cars'!$A$4:$A$103,0))*30,0),""),""))</f>
        <v/>
      </c>
      <c r="L370" s="21">
        <f>IF(AND($J370="",$K370=""),"",MIN(IF($J370="",99999,$J370),IF($K370="",99999,$K370)))</f>
        <v/>
      </c>
      <c r="M370" s="16">
        <f>IF(AND($I370="",$J370=""),"",IF(OR(AND($I370&lt;&gt;"",N($I370)&lt;0),AND($J370&lt;&gt;"",N($J370)&lt;0)),"Overdue",IF(OR(AND($I370&lt;&gt;"",N($I370)&lt;=IFERROR(INDEX('Intervals'!$E$4:$E$33,MATCH($B370,'Intervals'!$A$4:$A$33,0)),500)),AND($J370&lt;&gt;"",N($J370)&lt;=IFERROR(INDEX('Intervals'!$F$4:$F$33,MATCH($B370,'Intervals'!$A$4:$A$33,0)),14))),"Due soon","OK")))</f>
        <v/>
      </c>
      <c r="N370" s="15" t="n"/>
      <c r="O370" s="22">
        <f>IF(OR($M370="",$M370="OK"),"",$L370+ROW()/100000)</f>
        <v/>
      </c>
    </row>
    <row r="371">
      <c r="A371" s="15" t="n"/>
      <c r="B371" s="15" t="n"/>
      <c r="C371" s="16">
        <f>IF($B371="","",IFERROR(INDEX('Intervals'!$B$4:$B$33,MATCH($B371,'Intervals'!$A$4:$A$33,0)),""))</f>
        <v/>
      </c>
      <c r="D371" s="17" t="n"/>
      <c r="E371" s="18" t="n"/>
      <c r="F371" s="19">
        <f>IF(OR($B371="",$E371=""),"",IFERROR(IF(AND(INDEX('Intervals'!$G$4:$G$33,MATCH($B371,'Intervals'!$A$4:$A$33,0))&lt;&gt;"No",N(INDEX('Intervals'!$C$4:$C$33,MATCH($B371,'Intervals'!$A$4:$A$33,0)))&gt;0),$E371+N(INDEX('Intervals'!$C$4:$C$33,MATCH($B371,'Intervals'!$A$4:$A$33,0))),""),""))</f>
        <v/>
      </c>
      <c r="G371" s="20">
        <f>IF(OR($B371="",$D371=""),"",IFERROR(IF(AND(INDEX('Intervals'!$G$4:$G$33,MATCH($B371,'Intervals'!$A$4:$A$33,0))&lt;&gt;"No",N(INDEX('Intervals'!$D$4:$D$33,MATCH($B371,'Intervals'!$A$4:$A$33,0)))&gt;0),EDATE($D371,N(INDEX('Intervals'!$D$4:$D$33,MATCH($B371,'Intervals'!$A$4:$A$33,0)))),""),""))</f>
        <v/>
      </c>
      <c r="H371" s="19">
        <f>IF($A371="","",IFERROR(IF(N(INDEX('Cars'!$H$4:$H$103,MATCH($A371,'Cars'!$A$4:$A$103,0)))&gt;0,INDEX('Cars'!$H$4:$H$103,MATCH($A371,'Cars'!$A$4:$A$103,0)),""),""))</f>
        <v/>
      </c>
      <c r="I371" s="19">
        <f>IF(OR($F371="",$H371=""),"",$F371-$H371)</f>
        <v/>
      </c>
      <c r="J371" s="21">
        <f>IF($G371="","",$G371-TODAY())</f>
        <v/>
      </c>
      <c r="K371" s="21">
        <f>IF($I371="","",IFERROR(IF(N(INDEX('Cars'!$J$4:$J$103,MATCH($A371,'Cars'!$A$4:$A$103,0)))&gt;0,ROUND($I371/INDEX('Cars'!$J$4:$J$103,MATCH($A371,'Cars'!$A$4:$A$103,0))*30,0),""),""))</f>
        <v/>
      </c>
      <c r="L371" s="21">
        <f>IF(AND($J371="",$K371=""),"",MIN(IF($J371="",99999,$J371),IF($K371="",99999,$K371)))</f>
        <v/>
      </c>
      <c r="M371" s="16">
        <f>IF(AND($I371="",$J371=""),"",IF(OR(AND($I371&lt;&gt;"",N($I371)&lt;0),AND($J371&lt;&gt;"",N($J371)&lt;0)),"Overdue",IF(OR(AND($I371&lt;&gt;"",N($I371)&lt;=IFERROR(INDEX('Intervals'!$E$4:$E$33,MATCH($B371,'Intervals'!$A$4:$A$33,0)),500)),AND($J371&lt;&gt;"",N($J371)&lt;=IFERROR(INDEX('Intervals'!$F$4:$F$33,MATCH($B371,'Intervals'!$A$4:$A$33,0)),14))),"Due soon","OK")))</f>
        <v/>
      </c>
      <c r="N371" s="15" t="n"/>
      <c r="O371" s="22">
        <f>IF(OR($M371="",$M371="OK"),"",$L371+ROW()/100000)</f>
        <v/>
      </c>
    </row>
    <row r="372">
      <c r="A372" s="15" t="n"/>
      <c r="B372" s="15" t="n"/>
      <c r="C372" s="16">
        <f>IF($B372="","",IFERROR(INDEX('Intervals'!$B$4:$B$33,MATCH($B372,'Intervals'!$A$4:$A$33,0)),""))</f>
        <v/>
      </c>
      <c r="D372" s="17" t="n"/>
      <c r="E372" s="18" t="n"/>
      <c r="F372" s="19">
        <f>IF(OR($B372="",$E372=""),"",IFERROR(IF(AND(INDEX('Intervals'!$G$4:$G$33,MATCH($B372,'Intervals'!$A$4:$A$33,0))&lt;&gt;"No",N(INDEX('Intervals'!$C$4:$C$33,MATCH($B372,'Intervals'!$A$4:$A$33,0)))&gt;0),$E372+N(INDEX('Intervals'!$C$4:$C$33,MATCH($B372,'Intervals'!$A$4:$A$33,0))),""),""))</f>
        <v/>
      </c>
      <c r="G372" s="20">
        <f>IF(OR($B372="",$D372=""),"",IFERROR(IF(AND(INDEX('Intervals'!$G$4:$G$33,MATCH($B372,'Intervals'!$A$4:$A$33,0))&lt;&gt;"No",N(INDEX('Intervals'!$D$4:$D$33,MATCH($B372,'Intervals'!$A$4:$A$33,0)))&gt;0),EDATE($D372,N(INDEX('Intervals'!$D$4:$D$33,MATCH($B372,'Intervals'!$A$4:$A$33,0)))),""),""))</f>
        <v/>
      </c>
      <c r="H372" s="19">
        <f>IF($A372="","",IFERROR(IF(N(INDEX('Cars'!$H$4:$H$103,MATCH($A372,'Cars'!$A$4:$A$103,0)))&gt;0,INDEX('Cars'!$H$4:$H$103,MATCH($A372,'Cars'!$A$4:$A$103,0)),""),""))</f>
        <v/>
      </c>
      <c r="I372" s="19">
        <f>IF(OR($F372="",$H372=""),"",$F372-$H372)</f>
        <v/>
      </c>
      <c r="J372" s="21">
        <f>IF($G372="","",$G372-TODAY())</f>
        <v/>
      </c>
      <c r="K372" s="21">
        <f>IF($I372="","",IFERROR(IF(N(INDEX('Cars'!$J$4:$J$103,MATCH($A372,'Cars'!$A$4:$A$103,0)))&gt;0,ROUND($I372/INDEX('Cars'!$J$4:$J$103,MATCH($A372,'Cars'!$A$4:$A$103,0))*30,0),""),""))</f>
        <v/>
      </c>
      <c r="L372" s="21">
        <f>IF(AND($J372="",$K372=""),"",MIN(IF($J372="",99999,$J372),IF($K372="",99999,$K372)))</f>
        <v/>
      </c>
      <c r="M372" s="16">
        <f>IF(AND($I372="",$J372=""),"",IF(OR(AND($I372&lt;&gt;"",N($I372)&lt;0),AND($J372&lt;&gt;"",N($J372)&lt;0)),"Overdue",IF(OR(AND($I372&lt;&gt;"",N($I372)&lt;=IFERROR(INDEX('Intervals'!$E$4:$E$33,MATCH($B372,'Intervals'!$A$4:$A$33,0)),500)),AND($J372&lt;&gt;"",N($J372)&lt;=IFERROR(INDEX('Intervals'!$F$4:$F$33,MATCH($B372,'Intervals'!$A$4:$A$33,0)),14))),"Due soon","OK")))</f>
        <v/>
      </c>
      <c r="N372" s="15" t="n"/>
      <c r="O372" s="22">
        <f>IF(OR($M372="",$M372="OK"),"",$L372+ROW()/100000)</f>
        <v/>
      </c>
    </row>
    <row r="373">
      <c r="A373" s="15" t="n"/>
      <c r="B373" s="15" t="n"/>
      <c r="C373" s="16">
        <f>IF($B373="","",IFERROR(INDEX('Intervals'!$B$4:$B$33,MATCH($B373,'Intervals'!$A$4:$A$33,0)),""))</f>
        <v/>
      </c>
      <c r="D373" s="17" t="n"/>
      <c r="E373" s="18" t="n"/>
      <c r="F373" s="19">
        <f>IF(OR($B373="",$E373=""),"",IFERROR(IF(AND(INDEX('Intervals'!$G$4:$G$33,MATCH($B373,'Intervals'!$A$4:$A$33,0))&lt;&gt;"No",N(INDEX('Intervals'!$C$4:$C$33,MATCH($B373,'Intervals'!$A$4:$A$33,0)))&gt;0),$E373+N(INDEX('Intervals'!$C$4:$C$33,MATCH($B373,'Intervals'!$A$4:$A$33,0))),""),""))</f>
        <v/>
      </c>
      <c r="G373" s="20">
        <f>IF(OR($B373="",$D373=""),"",IFERROR(IF(AND(INDEX('Intervals'!$G$4:$G$33,MATCH($B373,'Intervals'!$A$4:$A$33,0))&lt;&gt;"No",N(INDEX('Intervals'!$D$4:$D$33,MATCH($B373,'Intervals'!$A$4:$A$33,0)))&gt;0),EDATE($D373,N(INDEX('Intervals'!$D$4:$D$33,MATCH($B373,'Intervals'!$A$4:$A$33,0)))),""),""))</f>
        <v/>
      </c>
      <c r="H373" s="19">
        <f>IF($A373="","",IFERROR(IF(N(INDEX('Cars'!$H$4:$H$103,MATCH($A373,'Cars'!$A$4:$A$103,0)))&gt;0,INDEX('Cars'!$H$4:$H$103,MATCH($A373,'Cars'!$A$4:$A$103,0)),""),""))</f>
        <v/>
      </c>
      <c r="I373" s="19">
        <f>IF(OR($F373="",$H373=""),"",$F373-$H373)</f>
        <v/>
      </c>
      <c r="J373" s="21">
        <f>IF($G373="","",$G373-TODAY())</f>
        <v/>
      </c>
      <c r="K373" s="21">
        <f>IF($I373="","",IFERROR(IF(N(INDEX('Cars'!$J$4:$J$103,MATCH($A373,'Cars'!$A$4:$A$103,0)))&gt;0,ROUND($I373/INDEX('Cars'!$J$4:$J$103,MATCH($A373,'Cars'!$A$4:$A$103,0))*30,0),""),""))</f>
        <v/>
      </c>
      <c r="L373" s="21">
        <f>IF(AND($J373="",$K373=""),"",MIN(IF($J373="",99999,$J373),IF($K373="",99999,$K373)))</f>
        <v/>
      </c>
      <c r="M373" s="16">
        <f>IF(AND($I373="",$J373=""),"",IF(OR(AND($I373&lt;&gt;"",N($I373)&lt;0),AND($J373&lt;&gt;"",N($J373)&lt;0)),"Overdue",IF(OR(AND($I373&lt;&gt;"",N($I373)&lt;=IFERROR(INDEX('Intervals'!$E$4:$E$33,MATCH($B373,'Intervals'!$A$4:$A$33,0)),500)),AND($J373&lt;&gt;"",N($J373)&lt;=IFERROR(INDEX('Intervals'!$F$4:$F$33,MATCH($B373,'Intervals'!$A$4:$A$33,0)),14))),"Due soon","OK")))</f>
        <v/>
      </c>
      <c r="N373" s="15" t="n"/>
      <c r="O373" s="22">
        <f>IF(OR($M373="",$M373="OK"),"",$L373+ROW()/100000)</f>
        <v/>
      </c>
    </row>
    <row r="374">
      <c r="A374" s="15" t="n"/>
      <c r="B374" s="15" t="n"/>
      <c r="C374" s="16">
        <f>IF($B374="","",IFERROR(INDEX('Intervals'!$B$4:$B$33,MATCH($B374,'Intervals'!$A$4:$A$33,0)),""))</f>
        <v/>
      </c>
      <c r="D374" s="17" t="n"/>
      <c r="E374" s="18" t="n"/>
      <c r="F374" s="19">
        <f>IF(OR($B374="",$E374=""),"",IFERROR(IF(AND(INDEX('Intervals'!$G$4:$G$33,MATCH($B374,'Intervals'!$A$4:$A$33,0))&lt;&gt;"No",N(INDEX('Intervals'!$C$4:$C$33,MATCH($B374,'Intervals'!$A$4:$A$33,0)))&gt;0),$E374+N(INDEX('Intervals'!$C$4:$C$33,MATCH($B374,'Intervals'!$A$4:$A$33,0))),""),""))</f>
        <v/>
      </c>
      <c r="G374" s="20">
        <f>IF(OR($B374="",$D374=""),"",IFERROR(IF(AND(INDEX('Intervals'!$G$4:$G$33,MATCH($B374,'Intervals'!$A$4:$A$33,0))&lt;&gt;"No",N(INDEX('Intervals'!$D$4:$D$33,MATCH($B374,'Intervals'!$A$4:$A$33,0)))&gt;0),EDATE($D374,N(INDEX('Intervals'!$D$4:$D$33,MATCH($B374,'Intervals'!$A$4:$A$33,0)))),""),""))</f>
        <v/>
      </c>
      <c r="H374" s="19">
        <f>IF($A374="","",IFERROR(IF(N(INDEX('Cars'!$H$4:$H$103,MATCH($A374,'Cars'!$A$4:$A$103,0)))&gt;0,INDEX('Cars'!$H$4:$H$103,MATCH($A374,'Cars'!$A$4:$A$103,0)),""),""))</f>
        <v/>
      </c>
      <c r="I374" s="19">
        <f>IF(OR($F374="",$H374=""),"",$F374-$H374)</f>
        <v/>
      </c>
      <c r="J374" s="21">
        <f>IF($G374="","",$G374-TODAY())</f>
        <v/>
      </c>
      <c r="K374" s="21">
        <f>IF($I374="","",IFERROR(IF(N(INDEX('Cars'!$J$4:$J$103,MATCH($A374,'Cars'!$A$4:$A$103,0)))&gt;0,ROUND($I374/INDEX('Cars'!$J$4:$J$103,MATCH($A374,'Cars'!$A$4:$A$103,0))*30,0),""),""))</f>
        <v/>
      </c>
      <c r="L374" s="21">
        <f>IF(AND($J374="",$K374=""),"",MIN(IF($J374="",99999,$J374),IF($K374="",99999,$K374)))</f>
        <v/>
      </c>
      <c r="M374" s="16">
        <f>IF(AND($I374="",$J374=""),"",IF(OR(AND($I374&lt;&gt;"",N($I374)&lt;0),AND($J374&lt;&gt;"",N($J374)&lt;0)),"Overdue",IF(OR(AND($I374&lt;&gt;"",N($I374)&lt;=IFERROR(INDEX('Intervals'!$E$4:$E$33,MATCH($B374,'Intervals'!$A$4:$A$33,0)),500)),AND($J374&lt;&gt;"",N($J374)&lt;=IFERROR(INDEX('Intervals'!$F$4:$F$33,MATCH($B374,'Intervals'!$A$4:$A$33,0)),14))),"Due soon","OK")))</f>
        <v/>
      </c>
      <c r="N374" s="15" t="n"/>
      <c r="O374" s="22">
        <f>IF(OR($M374="",$M374="OK"),"",$L374+ROW()/100000)</f>
        <v/>
      </c>
    </row>
    <row r="375">
      <c r="A375" s="15" t="n"/>
      <c r="B375" s="15" t="n"/>
      <c r="C375" s="16">
        <f>IF($B375="","",IFERROR(INDEX('Intervals'!$B$4:$B$33,MATCH($B375,'Intervals'!$A$4:$A$33,0)),""))</f>
        <v/>
      </c>
      <c r="D375" s="17" t="n"/>
      <c r="E375" s="18" t="n"/>
      <c r="F375" s="19">
        <f>IF(OR($B375="",$E375=""),"",IFERROR(IF(AND(INDEX('Intervals'!$G$4:$G$33,MATCH($B375,'Intervals'!$A$4:$A$33,0))&lt;&gt;"No",N(INDEX('Intervals'!$C$4:$C$33,MATCH($B375,'Intervals'!$A$4:$A$33,0)))&gt;0),$E375+N(INDEX('Intervals'!$C$4:$C$33,MATCH($B375,'Intervals'!$A$4:$A$33,0))),""),""))</f>
        <v/>
      </c>
      <c r="G375" s="20">
        <f>IF(OR($B375="",$D375=""),"",IFERROR(IF(AND(INDEX('Intervals'!$G$4:$G$33,MATCH($B375,'Intervals'!$A$4:$A$33,0))&lt;&gt;"No",N(INDEX('Intervals'!$D$4:$D$33,MATCH($B375,'Intervals'!$A$4:$A$33,0)))&gt;0),EDATE($D375,N(INDEX('Intervals'!$D$4:$D$33,MATCH($B375,'Intervals'!$A$4:$A$33,0)))),""),""))</f>
        <v/>
      </c>
      <c r="H375" s="19">
        <f>IF($A375="","",IFERROR(IF(N(INDEX('Cars'!$H$4:$H$103,MATCH($A375,'Cars'!$A$4:$A$103,0)))&gt;0,INDEX('Cars'!$H$4:$H$103,MATCH($A375,'Cars'!$A$4:$A$103,0)),""),""))</f>
        <v/>
      </c>
      <c r="I375" s="19">
        <f>IF(OR($F375="",$H375=""),"",$F375-$H375)</f>
        <v/>
      </c>
      <c r="J375" s="21">
        <f>IF($G375="","",$G375-TODAY())</f>
        <v/>
      </c>
      <c r="K375" s="21">
        <f>IF($I375="","",IFERROR(IF(N(INDEX('Cars'!$J$4:$J$103,MATCH($A375,'Cars'!$A$4:$A$103,0)))&gt;0,ROUND($I375/INDEX('Cars'!$J$4:$J$103,MATCH($A375,'Cars'!$A$4:$A$103,0))*30,0),""),""))</f>
        <v/>
      </c>
      <c r="L375" s="21">
        <f>IF(AND($J375="",$K375=""),"",MIN(IF($J375="",99999,$J375),IF($K375="",99999,$K375)))</f>
        <v/>
      </c>
      <c r="M375" s="16">
        <f>IF(AND($I375="",$J375=""),"",IF(OR(AND($I375&lt;&gt;"",N($I375)&lt;0),AND($J375&lt;&gt;"",N($J375)&lt;0)),"Overdue",IF(OR(AND($I375&lt;&gt;"",N($I375)&lt;=IFERROR(INDEX('Intervals'!$E$4:$E$33,MATCH($B375,'Intervals'!$A$4:$A$33,0)),500)),AND($J375&lt;&gt;"",N($J375)&lt;=IFERROR(INDEX('Intervals'!$F$4:$F$33,MATCH($B375,'Intervals'!$A$4:$A$33,0)),14))),"Due soon","OK")))</f>
        <v/>
      </c>
      <c r="N375" s="15" t="n"/>
      <c r="O375" s="22">
        <f>IF(OR($M375="",$M375="OK"),"",$L375+ROW()/100000)</f>
        <v/>
      </c>
    </row>
    <row r="376">
      <c r="A376" s="15" t="n"/>
      <c r="B376" s="15" t="n"/>
      <c r="C376" s="16">
        <f>IF($B376="","",IFERROR(INDEX('Intervals'!$B$4:$B$33,MATCH($B376,'Intervals'!$A$4:$A$33,0)),""))</f>
        <v/>
      </c>
      <c r="D376" s="17" t="n"/>
      <c r="E376" s="18" t="n"/>
      <c r="F376" s="19">
        <f>IF(OR($B376="",$E376=""),"",IFERROR(IF(AND(INDEX('Intervals'!$G$4:$G$33,MATCH($B376,'Intervals'!$A$4:$A$33,0))&lt;&gt;"No",N(INDEX('Intervals'!$C$4:$C$33,MATCH($B376,'Intervals'!$A$4:$A$33,0)))&gt;0),$E376+N(INDEX('Intervals'!$C$4:$C$33,MATCH($B376,'Intervals'!$A$4:$A$33,0))),""),""))</f>
        <v/>
      </c>
      <c r="G376" s="20">
        <f>IF(OR($B376="",$D376=""),"",IFERROR(IF(AND(INDEX('Intervals'!$G$4:$G$33,MATCH($B376,'Intervals'!$A$4:$A$33,0))&lt;&gt;"No",N(INDEX('Intervals'!$D$4:$D$33,MATCH($B376,'Intervals'!$A$4:$A$33,0)))&gt;0),EDATE($D376,N(INDEX('Intervals'!$D$4:$D$33,MATCH($B376,'Intervals'!$A$4:$A$33,0)))),""),""))</f>
        <v/>
      </c>
      <c r="H376" s="19">
        <f>IF($A376="","",IFERROR(IF(N(INDEX('Cars'!$H$4:$H$103,MATCH($A376,'Cars'!$A$4:$A$103,0)))&gt;0,INDEX('Cars'!$H$4:$H$103,MATCH($A376,'Cars'!$A$4:$A$103,0)),""),""))</f>
        <v/>
      </c>
      <c r="I376" s="19">
        <f>IF(OR($F376="",$H376=""),"",$F376-$H376)</f>
        <v/>
      </c>
      <c r="J376" s="21">
        <f>IF($G376="","",$G376-TODAY())</f>
        <v/>
      </c>
      <c r="K376" s="21">
        <f>IF($I376="","",IFERROR(IF(N(INDEX('Cars'!$J$4:$J$103,MATCH($A376,'Cars'!$A$4:$A$103,0)))&gt;0,ROUND($I376/INDEX('Cars'!$J$4:$J$103,MATCH($A376,'Cars'!$A$4:$A$103,0))*30,0),""),""))</f>
        <v/>
      </c>
      <c r="L376" s="21">
        <f>IF(AND($J376="",$K376=""),"",MIN(IF($J376="",99999,$J376),IF($K376="",99999,$K376)))</f>
        <v/>
      </c>
      <c r="M376" s="16">
        <f>IF(AND($I376="",$J376=""),"",IF(OR(AND($I376&lt;&gt;"",N($I376)&lt;0),AND($J376&lt;&gt;"",N($J376)&lt;0)),"Overdue",IF(OR(AND($I376&lt;&gt;"",N($I376)&lt;=IFERROR(INDEX('Intervals'!$E$4:$E$33,MATCH($B376,'Intervals'!$A$4:$A$33,0)),500)),AND($J376&lt;&gt;"",N($J376)&lt;=IFERROR(INDEX('Intervals'!$F$4:$F$33,MATCH($B376,'Intervals'!$A$4:$A$33,0)),14))),"Due soon","OK")))</f>
        <v/>
      </c>
      <c r="N376" s="15" t="n"/>
      <c r="O376" s="22">
        <f>IF(OR($M376="",$M376="OK"),"",$L376+ROW()/100000)</f>
        <v/>
      </c>
    </row>
    <row r="377">
      <c r="A377" s="15" t="n"/>
      <c r="B377" s="15" t="n"/>
      <c r="C377" s="16">
        <f>IF($B377="","",IFERROR(INDEX('Intervals'!$B$4:$B$33,MATCH($B377,'Intervals'!$A$4:$A$33,0)),""))</f>
        <v/>
      </c>
      <c r="D377" s="17" t="n"/>
      <c r="E377" s="18" t="n"/>
      <c r="F377" s="19">
        <f>IF(OR($B377="",$E377=""),"",IFERROR(IF(AND(INDEX('Intervals'!$G$4:$G$33,MATCH($B377,'Intervals'!$A$4:$A$33,0))&lt;&gt;"No",N(INDEX('Intervals'!$C$4:$C$33,MATCH($B377,'Intervals'!$A$4:$A$33,0)))&gt;0),$E377+N(INDEX('Intervals'!$C$4:$C$33,MATCH($B377,'Intervals'!$A$4:$A$33,0))),""),""))</f>
        <v/>
      </c>
      <c r="G377" s="20">
        <f>IF(OR($B377="",$D377=""),"",IFERROR(IF(AND(INDEX('Intervals'!$G$4:$G$33,MATCH($B377,'Intervals'!$A$4:$A$33,0))&lt;&gt;"No",N(INDEX('Intervals'!$D$4:$D$33,MATCH($B377,'Intervals'!$A$4:$A$33,0)))&gt;0),EDATE($D377,N(INDEX('Intervals'!$D$4:$D$33,MATCH($B377,'Intervals'!$A$4:$A$33,0)))),""),""))</f>
        <v/>
      </c>
      <c r="H377" s="19">
        <f>IF($A377="","",IFERROR(IF(N(INDEX('Cars'!$H$4:$H$103,MATCH($A377,'Cars'!$A$4:$A$103,0)))&gt;0,INDEX('Cars'!$H$4:$H$103,MATCH($A377,'Cars'!$A$4:$A$103,0)),""),""))</f>
        <v/>
      </c>
      <c r="I377" s="19">
        <f>IF(OR($F377="",$H377=""),"",$F377-$H377)</f>
        <v/>
      </c>
      <c r="J377" s="21">
        <f>IF($G377="","",$G377-TODAY())</f>
        <v/>
      </c>
      <c r="K377" s="21">
        <f>IF($I377="","",IFERROR(IF(N(INDEX('Cars'!$J$4:$J$103,MATCH($A377,'Cars'!$A$4:$A$103,0)))&gt;0,ROUND($I377/INDEX('Cars'!$J$4:$J$103,MATCH($A377,'Cars'!$A$4:$A$103,0))*30,0),""),""))</f>
        <v/>
      </c>
      <c r="L377" s="21">
        <f>IF(AND($J377="",$K377=""),"",MIN(IF($J377="",99999,$J377),IF($K377="",99999,$K377)))</f>
        <v/>
      </c>
      <c r="M377" s="16">
        <f>IF(AND($I377="",$J377=""),"",IF(OR(AND($I377&lt;&gt;"",N($I377)&lt;0),AND($J377&lt;&gt;"",N($J377)&lt;0)),"Overdue",IF(OR(AND($I377&lt;&gt;"",N($I377)&lt;=IFERROR(INDEX('Intervals'!$E$4:$E$33,MATCH($B377,'Intervals'!$A$4:$A$33,0)),500)),AND($J377&lt;&gt;"",N($J377)&lt;=IFERROR(INDEX('Intervals'!$F$4:$F$33,MATCH($B377,'Intervals'!$A$4:$A$33,0)),14))),"Due soon","OK")))</f>
        <v/>
      </c>
      <c r="N377" s="15" t="n"/>
      <c r="O377" s="22">
        <f>IF(OR($M377="",$M377="OK"),"",$L377+ROW()/100000)</f>
        <v/>
      </c>
    </row>
    <row r="378">
      <c r="A378" s="15" t="n"/>
      <c r="B378" s="15" t="n"/>
      <c r="C378" s="16">
        <f>IF($B378="","",IFERROR(INDEX('Intervals'!$B$4:$B$33,MATCH($B378,'Intervals'!$A$4:$A$33,0)),""))</f>
        <v/>
      </c>
      <c r="D378" s="17" t="n"/>
      <c r="E378" s="18" t="n"/>
      <c r="F378" s="19">
        <f>IF(OR($B378="",$E378=""),"",IFERROR(IF(AND(INDEX('Intervals'!$G$4:$G$33,MATCH($B378,'Intervals'!$A$4:$A$33,0))&lt;&gt;"No",N(INDEX('Intervals'!$C$4:$C$33,MATCH($B378,'Intervals'!$A$4:$A$33,0)))&gt;0),$E378+N(INDEX('Intervals'!$C$4:$C$33,MATCH($B378,'Intervals'!$A$4:$A$33,0))),""),""))</f>
        <v/>
      </c>
      <c r="G378" s="20">
        <f>IF(OR($B378="",$D378=""),"",IFERROR(IF(AND(INDEX('Intervals'!$G$4:$G$33,MATCH($B378,'Intervals'!$A$4:$A$33,0))&lt;&gt;"No",N(INDEX('Intervals'!$D$4:$D$33,MATCH($B378,'Intervals'!$A$4:$A$33,0)))&gt;0),EDATE($D378,N(INDEX('Intervals'!$D$4:$D$33,MATCH($B378,'Intervals'!$A$4:$A$33,0)))),""),""))</f>
        <v/>
      </c>
      <c r="H378" s="19">
        <f>IF($A378="","",IFERROR(IF(N(INDEX('Cars'!$H$4:$H$103,MATCH($A378,'Cars'!$A$4:$A$103,0)))&gt;0,INDEX('Cars'!$H$4:$H$103,MATCH($A378,'Cars'!$A$4:$A$103,0)),""),""))</f>
        <v/>
      </c>
      <c r="I378" s="19">
        <f>IF(OR($F378="",$H378=""),"",$F378-$H378)</f>
        <v/>
      </c>
      <c r="J378" s="21">
        <f>IF($G378="","",$G378-TODAY())</f>
        <v/>
      </c>
      <c r="K378" s="21">
        <f>IF($I378="","",IFERROR(IF(N(INDEX('Cars'!$J$4:$J$103,MATCH($A378,'Cars'!$A$4:$A$103,0)))&gt;0,ROUND($I378/INDEX('Cars'!$J$4:$J$103,MATCH($A378,'Cars'!$A$4:$A$103,0))*30,0),""),""))</f>
        <v/>
      </c>
      <c r="L378" s="21">
        <f>IF(AND($J378="",$K378=""),"",MIN(IF($J378="",99999,$J378),IF($K378="",99999,$K378)))</f>
        <v/>
      </c>
      <c r="M378" s="16">
        <f>IF(AND($I378="",$J378=""),"",IF(OR(AND($I378&lt;&gt;"",N($I378)&lt;0),AND($J378&lt;&gt;"",N($J378)&lt;0)),"Overdue",IF(OR(AND($I378&lt;&gt;"",N($I378)&lt;=IFERROR(INDEX('Intervals'!$E$4:$E$33,MATCH($B378,'Intervals'!$A$4:$A$33,0)),500)),AND($J378&lt;&gt;"",N($J378)&lt;=IFERROR(INDEX('Intervals'!$F$4:$F$33,MATCH($B378,'Intervals'!$A$4:$A$33,0)),14))),"Due soon","OK")))</f>
        <v/>
      </c>
      <c r="N378" s="15" t="n"/>
      <c r="O378" s="22">
        <f>IF(OR($M378="",$M378="OK"),"",$L378+ROW()/100000)</f>
        <v/>
      </c>
    </row>
    <row r="379">
      <c r="A379" s="15" t="n"/>
      <c r="B379" s="15" t="n"/>
      <c r="C379" s="16">
        <f>IF($B379="","",IFERROR(INDEX('Intervals'!$B$4:$B$33,MATCH($B379,'Intervals'!$A$4:$A$33,0)),""))</f>
        <v/>
      </c>
      <c r="D379" s="17" t="n"/>
      <c r="E379" s="18" t="n"/>
      <c r="F379" s="19">
        <f>IF(OR($B379="",$E379=""),"",IFERROR(IF(AND(INDEX('Intervals'!$G$4:$G$33,MATCH($B379,'Intervals'!$A$4:$A$33,0))&lt;&gt;"No",N(INDEX('Intervals'!$C$4:$C$33,MATCH($B379,'Intervals'!$A$4:$A$33,0)))&gt;0),$E379+N(INDEX('Intervals'!$C$4:$C$33,MATCH($B379,'Intervals'!$A$4:$A$33,0))),""),""))</f>
        <v/>
      </c>
      <c r="G379" s="20">
        <f>IF(OR($B379="",$D379=""),"",IFERROR(IF(AND(INDEX('Intervals'!$G$4:$G$33,MATCH($B379,'Intervals'!$A$4:$A$33,0))&lt;&gt;"No",N(INDEX('Intervals'!$D$4:$D$33,MATCH($B379,'Intervals'!$A$4:$A$33,0)))&gt;0),EDATE($D379,N(INDEX('Intervals'!$D$4:$D$33,MATCH($B379,'Intervals'!$A$4:$A$33,0)))),""),""))</f>
        <v/>
      </c>
      <c r="H379" s="19">
        <f>IF($A379="","",IFERROR(IF(N(INDEX('Cars'!$H$4:$H$103,MATCH($A379,'Cars'!$A$4:$A$103,0)))&gt;0,INDEX('Cars'!$H$4:$H$103,MATCH($A379,'Cars'!$A$4:$A$103,0)),""),""))</f>
        <v/>
      </c>
      <c r="I379" s="19">
        <f>IF(OR($F379="",$H379=""),"",$F379-$H379)</f>
        <v/>
      </c>
      <c r="J379" s="21">
        <f>IF($G379="","",$G379-TODAY())</f>
        <v/>
      </c>
      <c r="K379" s="21">
        <f>IF($I379="","",IFERROR(IF(N(INDEX('Cars'!$J$4:$J$103,MATCH($A379,'Cars'!$A$4:$A$103,0)))&gt;0,ROUND($I379/INDEX('Cars'!$J$4:$J$103,MATCH($A379,'Cars'!$A$4:$A$103,0))*30,0),""),""))</f>
        <v/>
      </c>
      <c r="L379" s="21">
        <f>IF(AND($J379="",$K379=""),"",MIN(IF($J379="",99999,$J379),IF($K379="",99999,$K379)))</f>
        <v/>
      </c>
      <c r="M379" s="16">
        <f>IF(AND($I379="",$J379=""),"",IF(OR(AND($I379&lt;&gt;"",N($I379)&lt;0),AND($J379&lt;&gt;"",N($J379)&lt;0)),"Overdue",IF(OR(AND($I379&lt;&gt;"",N($I379)&lt;=IFERROR(INDEX('Intervals'!$E$4:$E$33,MATCH($B379,'Intervals'!$A$4:$A$33,0)),500)),AND($J379&lt;&gt;"",N($J379)&lt;=IFERROR(INDEX('Intervals'!$F$4:$F$33,MATCH($B379,'Intervals'!$A$4:$A$33,0)),14))),"Due soon","OK")))</f>
        <v/>
      </c>
      <c r="N379" s="15" t="n"/>
      <c r="O379" s="22">
        <f>IF(OR($M379="",$M379="OK"),"",$L379+ROW()/100000)</f>
        <v/>
      </c>
    </row>
    <row r="380">
      <c r="A380" s="15" t="n"/>
      <c r="B380" s="15" t="n"/>
      <c r="C380" s="16">
        <f>IF($B380="","",IFERROR(INDEX('Intervals'!$B$4:$B$33,MATCH($B380,'Intervals'!$A$4:$A$33,0)),""))</f>
        <v/>
      </c>
      <c r="D380" s="17" t="n"/>
      <c r="E380" s="18" t="n"/>
      <c r="F380" s="19">
        <f>IF(OR($B380="",$E380=""),"",IFERROR(IF(AND(INDEX('Intervals'!$G$4:$G$33,MATCH($B380,'Intervals'!$A$4:$A$33,0))&lt;&gt;"No",N(INDEX('Intervals'!$C$4:$C$33,MATCH($B380,'Intervals'!$A$4:$A$33,0)))&gt;0),$E380+N(INDEX('Intervals'!$C$4:$C$33,MATCH($B380,'Intervals'!$A$4:$A$33,0))),""),""))</f>
        <v/>
      </c>
      <c r="G380" s="20">
        <f>IF(OR($B380="",$D380=""),"",IFERROR(IF(AND(INDEX('Intervals'!$G$4:$G$33,MATCH($B380,'Intervals'!$A$4:$A$33,0))&lt;&gt;"No",N(INDEX('Intervals'!$D$4:$D$33,MATCH($B380,'Intervals'!$A$4:$A$33,0)))&gt;0),EDATE($D380,N(INDEX('Intervals'!$D$4:$D$33,MATCH($B380,'Intervals'!$A$4:$A$33,0)))),""),""))</f>
        <v/>
      </c>
      <c r="H380" s="19">
        <f>IF($A380="","",IFERROR(IF(N(INDEX('Cars'!$H$4:$H$103,MATCH($A380,'Cars'!$A$4:$A$103,0)))&gt;0,INDEX('Cars'!$H$4:$H$103,MATCH($A380,'Cars'!$A$4:$A$103,0)),""),""))</f>
        <v/>
      </c>
      <c r="I380" s="19">
        <f>IF(OR($F380="",$H380=""),"",$F380-$H380)</f>
        <v/>
      </c>
      <c r="J380" s="21">
        <f>IF($G380="","",$G380-TODAY())</f>
        <v/>
      </c>
      <c r="K380" s="21">
        <f>IF($I380="","",IFERROR(IF(N(INDEX('Cars'!$J$4:$J$103,MATCH($A380,'Cars'!$A$4:$A$103,0)))&gt;0,ROUND($I380/INDEX('Cars'!$J$4:$J$103,MATCH($A380,'Cars'!$A$4:$A$103,0))*30,0),""),""))</f>
        <v/>
      </c>
      <c r="L380" s="21">
        <f>IF(AND($J380="",$K380=""),"",MIN(IF($J380="",99999,$J380),IF($K380="",99999,$K380)))</f>
        <v/>
      </c>
      <c r="M380" s="16">
        <f>IF(AND($I380="",$J380=""),"",IF(OR(AND($I380&lt;&gt;"",N($I380)&lt;0),AND($J380&lt;&gt;"",N($J380)&lt;0)),"Overdue",IF(OR(AND($I380&lt;&gt;"",N($I380)&lt;=IFERROR(INDEX('Intervals'!$E$4:$E$33,MATCH($B380,'Intervals'!$A$4:$A$33,0)),500)),AND($J380&lt;&gt;"",N($J380)&lt;=IFERROR(INDEX('Intervals'!$F$4:$F$33,MATCH($B380,'Intervals'!$A$4:$A$33,0)),14))),"Due soon","OK")))</f>
        <v/>
      </c>
      <c r="N380" s="15" t="n"/>
      <c r="O380" s="22">
        <f>IF(OR($M380="",$M380="OK"),"",$L380+ROW()/100000)</f>
        <v/>
      </c>
    </row>
    <row r="381">
      <c r="A381" s="15" t="n"/>
      <c r="B381" s="15" t="n"/>
      <c r="C381" s="16">
        <f>IF($B381="","",IFERROR(INDEX('Intervals'!$B$4:$B$33,MATCH($B381,'Intervals'!$A$4:$A$33,0)),""))</f>
        <v/>
      </c>
      <c r="D381" s="17" t="n"/>
      <c r="E381" s="18" t="n"/>
      <c r="F381" s="19">
        <f>IF(OR($B381="",$E381=""),"",IFERROR(IF(AND(INDEX('Intervals'!$G$4:$G$33,MATCH($B381,'Intervals'!$A$4:$A$33,0))&lt;&gt;"No",N(INDEX('Intervals'!$C$4:$C$33,MATCH($B381,'Intervals'!$A$4:$A$33,0)))&gt;0),$E381+N(INDEX('Intervals'!$C$4:$C$33,MATCH($B381,'Intervals'!$A$4:$A$33,0))),""),""))</f>
        <v/>
      </c>
      <c r="G381" s="20">
        <f>IF(OR($B381="",$D381=""),"",IFERROR(IF(AND(INDEX('Intervals'!$G$4:$G$33,MATCH($B381,'Intervals'!$A$4:$A$33,0))&lt;&gt;"No",N(INDEX('Intervals'!$D$4:$D$33,MATCH($B381,'Intervals'!$A$4:$A$33,0)))&gt;0),EDATE($D381,N(INDEX('Intervals'!$D$4:$D$33,MATCH($B381,'Intervals'!$A$4:$A$33,0)))),""),""))</f>
        <v/>
      </c>
      <c r="H381" s="19">
        <f>IF($A381="","",IFERROR(IF(N(INDEX('Cars'!$H$4:$H$103,MATCH($A381,'Cars'!$A$4:$A$103,0)))&gt;0,INDEX('Cars'!$H$4:$H$103,MATCH($A381,'Cars'!$A$4:$A$103,0)),""),""))</f>
        <v/>
      </c>
      <c r="I381" s="19">
        <f>IF(OR($F381="",$H381=""),"",$F381-$H381)</f>
        <v/>
      </c>
      <c r="J381" s="21">
        <f>IF($G381="","",$G381-TODAY())</f>
        <v/>
      </c>
      <c r="K381" s="21">
        <f>IF($I381="","",IFERROR(IF(N(INDEX('Cars'!$J$4:$J$103,MATCH($A381,'Cars'!$A$4:$A$103,0)))&gt;0,ROUND($I381/INDEX('Cars'!$J$4:$J$103,MATCH($A381,'Cars'!$A$4:$A$103,0))*30,0),""),""))</f>
        <v/>
      </c>
      <c r="L381" s="21">
        <f>IF(AND($J381="",$K381=""),"",MIN(IF($J381="",99999,$J381),IF($K381="",99999,$K381)))</f>
        <v/>
      </c>
      <c r="M381" s="16">
        <f>IF(AND($I381="",$J381=""),"",IF(OR(AND($I381&lt;&gt;"",N($I381)&lt;0),AND($J381&lt;&gt;"",N($J381)&lt;0)),"Overdue",IF(OR(AND($I381&lt;&gt;"",N($I381)&lt;=IFERROR(INDEX('Intervals'!$E$4:$E$33,MATCH($B381,'Intervals'!$A$4:$A$33,0)),500)),AND($J381&lt;&gt;"",N($J381)&lt;=IFERROR(INDEX('Intervals'!$F$4:$F$33,MATCH($B381,'Intervals'!$A$4:$A$33,0)),14))),"Due soon","OK")))</f>
        <v/>
      </c>
      <c r="N381" s="15" t="n"/>
      <c r="O381" s="22">
        <f>IF(OR($M381="",$M381="OK"),"",$L381+ROW()/100000)</f>
        <v/>
      </c>
    </row>
    <row r="382">
      <c r="A382" s="15" t="n"/>
      <c r="B382" s="15" t="n"/>
      <c r="C382" s="16">
        <f>IF($B382="","",IFERROR(INDEX('Intervals'!$B$4:$B$33,MATCH($B382,'Intervals'!$A$4:$A$33,0)),""))</f>
        <v/>
      </c>
      <c r="D382" s="17" t="n"/>
      <c r="E382" s="18" t="n"/>
      <c r="F382" s="19">
        <f>IF(OR($B382="",$E382=""),"",IFERROR(IF(AND(INDEX('Intervals'!$G$4:$G$33,MATCH($B382,'Intervals'!$A$4:$A$33,0))&lt;&gt;"No",N(INDEX('Intervals'!$C$4:$C$33,MATCH($B382,'Intervals'!$A$4:$A$33,0)))&gt;0),$E382+N(INDEX('Intervals'!$C$4:$C$33,MATCH($B382,'Intervals'!$A$4:$A$33,0))),""),""))</f>
        <v/>
      </c>
      <c r="G382" s="20">
        <f>IF(OR($B382="",$D382=""),"",IFERROR(IF(AND(INDEX('Intervals'!$G$4:$G$33,MATCH($B382,'Intervals'!$A$4:$A$33,0))&lt;&gt;"No",N(INDEX('Intervals'!$D$4:$D$33,MATCH($B382,'Intervals'!$A$4:$A$33,0)))&gt;0),EDATE($D382,N(INDEX('Intervals'!$D$4:$D$33,MATCH($B382,'Intervals'!$A$4:$A$33,0)))),""),""))</f>
        <v/>
      </c>
      <c r="H382" s="19">
        <f>IF($A382="","",IFERROR(IF(N(INDEX('Cars'!$H$4:$H$103,MATCH($A382,'Cars'!$A$4:$A$103,0)))&gt;0,INDEX('Cars'!$H$4:$H$103,MATCH($A382,'Cars'!$A$4:$A$103,0)),""),""))</f>
        <v/>
      </c>
      <c r="I382" s="19">
        <f>IF(OR($F382="",$H382=""),"",$F382-$H382)</f>
        <v/>
      </c>
      <c r="J382" s="21">
        <f>IF($G382="","",$G382-TODAY())</f>
        <v/>
      </c>
      <c r="K382" s="21">
        <f>IF($I382="","",IFERROR(IF(N(INDEX('Cars'!$J$4:$J$103,MATCH($A382,'Cars'!$A$4:$A$103,0)))&gt;0,ROUND($I382/INDEX('Cars'!$J$4:$J$103,MATCH($A382,'Cars'!$A$4:$A$103,0))*30,0),""),""))</f>
        <v/>
      </c>
      <c r="L382" s="21">
        <f>IF(AND($J382="",$K382=""),"",MIN(IF($J382="",99999,$J382),IF($K382="",99999,$K382)))</f>
        <v/>
      </c>
      <c r="M382" s="16">
        <f>IF(AND($I382="",$J382=""),"",IF(OR(AND($I382&lt;&gt;"",N($I382)&lt;0),AND($J382&lt;&gt;"",N($J382)&lt;0)),"Overdue",IF(OR(AND($I382&lt;&gt;"",N($I382)&lt;=IFERROR(INDEX('Intervals'!$E$4:$E$33,MATCH($B382,'Intervals'!$A$4:$A$33,0)),500)),AND($J382&lt;&gt;"",N($J382)&lt;=IFERROR(INDEX('Intervals'!$F$4:$F$33,MATCH($B382,'Intervals'!$A$4:$A$33,0)),14))),"Due soon","OK")))</f>
        <v/>
      </c>
      <c r="N382" s="15" t="n"/>
      <c r="O382" s="22">
        <f>IF(OR($M382="",$M382="OK"),"",$L382+ROW()/100000)</f>
        <v/>
      </c>
    </row>
    <row r="383">
      <c r="A383" s="15" t="n"/>
      <c r="B383" s="15" t="n"/>
      <c r="C383" s="16">
        <f>IF($B383="","",IFERROR(INDEX('Intervals'!$B$4:$B$33,MATCH($B383,'Intervals'!$A$4:$A$33,0)),""))</f>
        <v/>
      </c>
      <c r="D383" s="17" t="n"/>
      <c r="E383" s="18" t="n"/>
      <c r="F383" s="19">
        <f>IF(OR($B383="",$E383=""),"",IFERROR(IF(AND(INDEX('Intervals'!$G$4:$G$33,MATCH($B383,'Intervals'!$A$4:$A$33,0))&lt;&gt;"No",N(INDEX('Intervals'!$C$4:$C$33,MATCH($B383,'Intervals'!$A$4:$A$33,0)))&gt;0),$E383+N(INDEX('Intervals'!$C$4:$C$33,MATCH($B383,'Intervals'!$A$4:$A$33,0))),""),""))</f>
        <v/>
      </c>
      <c r="G383" s="20">
        <f>IF(OR($B383="",$D383=""),"",IFERROR(IF(AND(INDEX('Intervals'!$G$4:$G$33,MATCH($B383,'Intervals'!$A$4:$A$33,0))&lt;&gt;"No",N(INDEX('Intervals'!$D$4:$D$33,MATCH($B383,'Intervals'!$A$4:$A$33,0)))&gt;0),EDATE($D383,N(INDEX('Intervals'!$D$4:$D$33,MATCH($B383,'Intervals'!$A$4:$A$33,0)))),""),""))</f>
        <v/>
      </c>
      <c r="H383" s="19">
        <f>IF($A383="","",IFERROR(IF(N(INDEX('Cars'!$H$4:$H$103,MATCH($A383,'Cars'!$A$4:$A$103,0)))&gt;0,INDEX('Cars'!$H$4:$H$103,MATCH($A383,'Cars'!$A$4:$A$103,0)),""),""))</f>
        <v/>
      </c>
      <c r="I383" s="19">
        <f>IF(OR($F383="",$H383=""),"",$F383-$H383)</f>
        <v/>
      </c>
      <c r="J383" s="21">
        <f>IF($G383="","",$G383-TODAY())</f>
        <v/>
      </c>
      <c r="K383" s="21">
        <f>IF($I383="","",IFERROR(IF(N(INDEX('Cars'!$J$4:$J$103,MATCH($A383,'Cars'!$A$4:$A$103,0)))&gt;0,ROUND($I383/INDEX('Cars'!$J$4:$J$103,MATCH($A383,'Cars'!$A$4:$A$103,0))*30,0),""),""))</f>
        <v/>
      </c>
      <c r="L383" s="21">
        <f>IF(AND($J383="",$K383=""),"",MIN(IF($J383="",99999,$J383),IF($K383="",99999,$K383)))</f>
        <v/>
      </c>
      <c r="M383" s="16">
        <f>IF(AND($I383="",$J383=""),"",IF(OR(AND($I383&lt;&gt;"",N($I383)&lt;0),AND($J383&lt;&gt;"",N($J383)&lt;0)),"Overdue",IF(OR(AND($I383&lt;&gt;"",N($I383)&lt;=IFERROR(INDEX('Intervals'!$E$4:$E$33,MATCH($B383,'Intervals'!$A$4:$A$33,0)),500)),AND($J383&lt;&gt;"",N($J383)&lt;=IFERROR(INDEX('Intervals'!$F$4:$F$33,MATCH($B383,'Intervals'!$A$4:$A$33,0)),14))),"Due soon","OK")))</f>
        <v/>
      </c>
      <c r="N383" s="15" t="n"/>
      <c r="O383" s="22">
        <f>IF(OR($M383="",$M383="OK"),"",$L383+ROW()/100000)</f>
        <v/>
      </c>
    </row>
    <row r="384">
      <c r="A384" s="15" t="n"/>
      <c r="B384" s="15" t="n"/>
      <c r="C384" s="16">
        <f>IF($B384="","",IFERROR(INDEX('Intervals'!$B$4:$B$33,MATCH($B384,'Intervals'!$A$4:$A$33,0)),""))</f>
        <v/>
      </c>
      <c r="D384" s="17" t="n"/>
      <c r="E384" s="18" t="n"/>
      <c r="F384" s="19">
        <f>IF(OR($B384="",$E384=""),"",IFERROR(IF(AND(INDEX('Intervals'!$G$4:$G$33,MATCH($B384,'Intervals'!$A$4:$A$33,0))&lt;&gt;"No",N(INDEX('Intervals'!$C$4:$C$33,MATCH($B384,'Intervals'!$A$4:$A$33,0)))&gt;0),$E384+N(INDEX('Intervals'!$C$4:$C$33,MATCH($B384,'Intervals'!$A$4:$A$33,0))),""),""))</f>
        <v/>
      </c>
      <c r="G384" s="20">
        <f>IF(OR($B384="",$D384=""),"",IFERROR(IF(AND(INDEX('Intervals'!$G$4:$G$33,MATCH($B384,'Intervals'!$A$4:$A$33,0))&lt;&gt;"No",N(INDEX('Intervals'!$D$4:$D$33,MATCH($B384,'Intervals'!$A$4:$A$33,0)))&gt;0),EDATE($D384,N(INDEX('Intervals'!$D$4:$D$33,MATCH($B384,'Intervals'!$A$4:$A$33,0)))),""),""))</f>
        <v/>
      </c>
      <c r="H384" s="19">
        <f>IF($A384="","",IFERROR(IF(N(INDEX('Cars'!$H$4:$H$103,MATCH($A384,'Cars'!$A$4:$A$103,0)))&gt;0,INDEX('Cars'!$H$4:$H$103,MATCH($A384,'Cars'!$A$4:$A$103,0)),""),""))</f>
        <v/>
      </c>
      <c r="I384" s="19">
        <f>IF(OR($F384="",$H384=""),"",$F384-$H384)</f>
        <v/>
      </c>
      <c r="J384" s="21">
        <f>IF($G384="","",$G384-TODAY())</f>
        <v/>
      </c>
      <c r="K384" s="21">
        <f>IF($I384="","",IFERROR(IF(N(INDEX('Cars'!$J$4:$J$103,MATCH($A384,'Cars'!$A$4:$A$103,0)))&gt;0,ROUND($I384/INDEX('Cars'!$J$4:$J$103,MATCH($A384,'Cars'!$A$4:$A$103,0))*30,0),""),""))</f>
        <v/>
      </c>
      <c r="L384" s="21">
        <f>IF(AND($J384="",$K384=""),"",MIN(IF($J384="",99999,$J384),IF($K384="",99999,$K384)))</f>
        <v/>
      </c>
      <c r="M384" s="16">
        <f>IF(AND($I384="",$J384=""),"",IF(OR(AND($I384&lt;&gt;"",N($I384)&lt;0),AND($J384&lt;&gt;"",N($J384)&lt;0)),"Overdue",IF(OR(AND($I384&lt;&gt;"",N($I384)&lt;=IFERROR(INDEX('Intervals'!$E$4:$E$33,MATCH($B384,'Intervals'!$A$4:$A$33,0)),500)),AND($J384&lt;&gt;"",N($J384)&lt;=IFERROR(INDEX('Intervals'!$F$4:$F$33,MATCH($B384,'Intervals'!$A$4:$A$33,0)),14))),"Due soon","OK")))</f>
        <v/>
      </c>
      <c r="N384" s="15" t="n"/>
      <c r="O384" s="22">
        <f>IF(OR($M384="",$M384="OK"),"",$L384+ROW()/100000)</f>
        <v/>
      </c>
    </row>
    <row r="385">
      <c r="A385" s="15" t="n"/>
      <c r="B385" s="15" t="n"/>
      <c r="C385" s="16">
        <f>IF($B385="","",IFERROR(INDEX('Intervals'!$B$4:$B$33,MATCH($B385,'Intervals'!$A$4:$A$33,0)),""))</f>
        <v/>
      </c>
      <c r="D385" s="17" t="n"/>
      <c r="E385" s="18" t="n"/>
      <c r="F385" s="19">
        <f>IF(OR($B385="",$E385=""),"",IFERROR(IF(AND(INDEX('Intervals'!$G$4:$G$33,MATCH($B385,'Intervals'!$A$4:$A$33,0))&lt;&gt;"No",N(INDEX('Intervals'!$C$4:$C$33,MATCH($B385,'Intervals'!$A$4:$A$33,0)))&gt;0),$E385+N(INDEX('Intervals'!$C$4:$C$33,MATCH($B385,'Intervals'!$A$4:$A$33,0))),""),""))</f>
        <v/>
      </c>
      <c r="G385" s="20">
        <f>IF(OR($B385="",$D385=""),"",IFERROR(IF(AND(INDEX('Intervals'!$G$4:$G$33,MATCH($B385,'Intervals'!$A$4:$A$33,0))&lt;&gt;"No",N(INDEX('Intervals'!$D$4:$D$33,MATCH($B385,'Intervals'!$A$4:$A$33,0)))&gt;0),EDATE($D385,N(INDEX('Intervals'!$D$4:$D$33,MATCH($B385,'Intervals'!$A$4:$A$33,0)))),""),""))</f>
        <v/>
      </c>
      <c r="H385" s="19">
        <f>IF($A385="","",IFERROR(IF(N(INDEX('Cars'!$H$4:$H$103,MATCH($A385,'Cars'!$A$4:$A$103,0)))&gt;0,INDEX('Cars'!$H$4:$H$103,MATCH($A385,'Cars'!$A$4:$A$103,0)),""),""))</f>
        <v/>
      </c>
      <c r="I385" s="19">
        <f>IF(OR($F385="",$H385=""),"",$F385-$H385)</f>
        <v/>
      </c>
      <c r="J385" s="21">
        <f>IF($G385="","",$G385-TODAY())</f>
        <v/>
      </c>
      <c r="K385" s="21">
        <f>IF($I385="","",IFERROR(IF(N(INDEX('Cars'!$J$4:$J$103,MATCH($A385,'Cars'!$A$4:$A$103,0)))&gt;0,ROUND($I385/INDEX('Cars'!$J$4:$J$103,MATCH($A385,'Cars'!$A$4:$A$103,0))*30,0),""),""))</f>
        <v/>
      </c>
      <c r="L385" s="21">
        <f>IF(AND($J385="",$K385=""),"",MIN(IF($J385="",99999,$J385),IF($K385="",99999,$K385)))</f>
        <v/>
      </c>
      <c r="M385" s="16">
        <f>IF(AND($I385="",$J385=""),"",IF(OR(AND($I385&lt;&gt;"",N($I385)&lt;0),AND($J385&lt;&gt;"",N($J385)&lt;0)),"Overdue",IF(OR(AND($I385&lt;&gt;"",N($I385)&lt;=IFERROR(INDEX('Intervals'!$E$4:$E$33,MATCH($B385,'Intervals'!$A$4:$A$33,0)),500)),AND($J385&lt;&gt;"",N($J385)&lt;=IFERROR(INDEX('Intervals'!$F$4:$F$33,MATCH($B385,'Intervals'!$A$4:$A$33,0)),14))),"Due soon","OK")))</f>
        <v/>
      </c>
      <c r="N385" s="15" t="n"/>
      <c r="O385" s="22">
        <f>IF(OR($M385="",$M385="OK"),"",$L385+ROW()/100000)</f>
        <v/>
      </c>
    </row>
    <row r="386">
      <c r="A386" s="15" t="n"/>
      <c r="B386" s="15" t="n"/>
      <c r="C386" s="16">
        <f>IF($B386="","",IFERROR(INDEX('Intervals'!$B$4:$B$33,MATCH($B386,'Intervals'!$A$4:$A$33,0)),""))</f>
        <v/>
      </c>
      <c r="D386" s="17" t="n"/>
      <c r="E386" s="18" t="n"/>
      <c r="F386" s="19">
        <f>IF(OR($B386="",$E386=""),"",IFERROR(IF(AND(INDEX('Intervals'!$G$4:$G$33,MATCH($B386,'Intervals'!$A$4:$A$33,0))&lt;&gt;"No",N(INDEX('Intervals'!$C$4:$C$33,MATCH($B386,'Intervals'!$A$4:$A$33,0)))&gt;0),$E386+N(INDEX('Intervals'!$C$4:$C$33,MATCH($B386,'Intervals'!$A$4:$A$33,0))),""),""))</f>
        <v/>
      </c>
      <c r="G386" s="20">
        <f>IF(OR($B386="",$D386=""),"",IFERROR(IF(AND(INDEX('Intervals'!$G$4:$G$33,MATCH($B386,'Intervals'!$A$4:$A$33,0))&lt;&gt;"No",N(INDEX('Intervals'!$D$4:$D$33,MATCH($B386,'Intervals'!$A$4:$A$33,0)))&gt;0),EDATE($D386,N(INDEX('Intervals'!$D$4:$D$33,MATCH($B386,'Intervals'!$A$4:$A$33,0)))),""),""))</f>
        <v/>
      </c>
      <c r="H386" s="19">
        <f>IF($A386="","",IFERROR(IF(N(INDEX('Cars'!$H$4:$H$103,MATCH($A386,'Cars'!$A$4:$A$103,0)))&gt;0,INDEX('Cars'!$H$4:$H$103,MATCH($A386,'Cars'!$A$4:$A$103,0)),""),""))</f>
        <v/>
      </c>
      <c r="I386" s="19">
        <f>IF(OR($F386="",$H386=""),"",$F386-$H386)</f>
        <v/>
      </c>
      <c r="J386" s="21">
        <f>IF($G386="","",$G386-TODAY())</f>
        <v/>
      </c>
      <c r="K386" s="21">
        <f>IF($I386="","",IFERROR(IF(N(INDEX('Cars'!$J$4:$J$103,MATCH($A386,'Cars'!$A$4:$A$103,0)))&gt;0,ROUND($I386/INDEX('Cars'!$J$4:$J$103,MATCH($A386,'Cars'!$A$4:$A$103,0))*30,0),""),""))</f>
        <v/>
      </c>
      <c r="L386" s="21">
        <f>IF(AND($J386="",$K386=""),"",MIN(IF($J386="",99999,$J386),IF($K386="",99999,$K386)))</f>
        <v/>
      </c>
      <c r="M386" s="16">
        <f>IF(AND($I386="",$J386=""),"",IF(OR(AND($I386&lt;&gt;"",N($I386)&lt;0),AND($J386&lt;&gt;"",N($J386)&lt;0)),"Overdue",IF(OR(AND($I386&lt;&gt;"",N($I386)&lt;=IFERROR(INDEX('Intervals'!$E$4:$E$33,MATCH($B386,'Intervals'!$A$4:$A$33,0)),500)),AND($J386&lt;&gt;"",N($J386)&lt;=IFERROR(INDEX('Intervals'!$F$4:$F$33,MATCH($B386,'Intervals'!$A$4:$A$33,0)),14))),"Due soon","OK")))</f>
        <v/>
      </c>
      <c r="N386" s="15" t="n"/>
      <c r="O386" s="22">
        <f>IF(OR($M386="",$M386="OK"),"",$L386+ROW()/100000)</f>
        <v/>
      </c>
    </row>
    <row r="387">
      <c r="A387" s="15" t="n"/>
      <c r="B387" s="15" t="n"/>
      <c r="C387" s="16">
        <f>IF($B387="","",IFERROR(INDEX('Intervals'!$B$4:$B$33,MATCH($B387,'Intervals'!$A$4:$A$33,0)),""))</f>
        <v/>
      </c>
      <c r="D387" s="17" t="n"/>
      <c r="E387" s="18" t="n"/>
      <c r="F387" s="19">
        <f>IF(OR($B387="",$E387=""),"",IFERROR(IF(AND(INDEX('Intervals'!$G$4:$G$33,MATCH($B387,'Intervals'!$A$4:$A$33,0))&lt;&gt;"No",N(INDEX('Intervals'!$C$4:$C$33,MATCH($B387,'Intervals'!$A$4:$A$33,0)))&gt;0),$E387+N(INDEX('Intervals'!$C$4:$C$33,MATCH($B387,'Intervals'!$A$4:$A$33,0))),""),""))</f>
        <v/>
      </c>
      <c r="G387" s="20">
        <f>IF(OR($B387="",$D387=""),"",IFERROR(IF(AND(INDEX('Intervals'!$G$4:$G$33,MATCH($B387,'Intervals'!$A$4:$A$33,0))&lt;&gt;"No",N(INDEX('Intervals'!$D$4:$D$33,MATCH($B387,'Intervals'!$A$4:$A$33,0)))&gt;0),EDATE($D387,N(INDEX('Intervals'!$D$4:$D$33,MATCH($B387,'Intervals'!$A$4:$A$33,0)))),""),""))</f>
        <v/>
      </c>
      <c r="H387" s="19">
        <f>IF($A387="","",IFERROR(IF(N(INDEX('Cars'!$H$4:$H$103,MATCH($A387,'Cars'!$A$4:$A$103,0)))&gt;0,INDEX('Cars'!$H$4:$H$103,MATCH($A387,'Cars'!$A$4:$A$103,0)),""),""))</f>
        <v/>
      </c>
      <c r="I387" s="19">
        <f>IF(OR($F387="",$H387=""),"",$F387-$H387)</f>
        <v/>
      </c>
      <c r="J387" s="21">
        <f>IF($G387="","",$G387-TODAY())</f>
        <v/>
      </c>
      <c r="K387" s="21">
        <f>IF($I387="","",IFERROR(IF(N(INDEX('Cars'!$J$4:$J$103,MATCH($A387,'Cars'!$A$4:$A$103,0)))&gt;0,ROUND($I387/INDEX('Cars'!$J$4:$J$103,MATCH($A387,'Cars'!$A$4:$A$103,0))*30,0),""),""))</f>
        <v/>
      </c>
      <c r="L387" s="21">
        <f>IF(AND($J387="",$K387=""),"",MIN(IF($J387="",99999,$J387),IF($K387="",99999,$K387)))</f>
        <v/>
      </c>
      <c r="M387" s="16">
        <f>IF(AND($I387="",$J387=""),"",IF(OR(AND($I387&lt;&gt;"",N($I387)&lt;0),AND($J387&lt;&gt;"",N($J387)&lt;0)),"Overdue",IF(OR(AND($I387&lt;&gt;"",N($I387)&lt;=IFERROR(INDEX('Intervals'!$E$4:$E$33,MATCH($B387,'Intervals'!$A$4:$A$33,0)),500)),AND($J387&lt;&gt;"",N($J387)&lt;=IFERROR(INDEX('Intervals'!$F$4:$F$33,MATCH($B387,'Intervals'!$A$4:$A$33,0)),14))),"Due soon","OK")))</f>
        <v/>
      </c>
      <c r="N387" s="15" t="n"/>
      <c r="O387" s="22">
        <f>IF(OR($M387="",$M387="OK"),"",$L387+ROW()/100000)</f>
        <v/>
      </c>
    </row>
    <row r="388">
      <c r="A388" s="15" t="n"/>
      <c r="B388" s="15" t="n"/>
      <c r="C388" s="16">
        <f>IF($B388="","",IFERROR(INDEX('Intervals'!$B$4:$B$33,MATCH($B388,'Intervals'!$A$4:$A$33,0)),""))</f>
        <v/>
      </c>
      <c r="D388" s="17" t="n"/>
      <c r="E388" s="18" t="n"/>
      <c r="F388" s="19">
        <f>IF(OR($B388="",$E388=""),"",IFERROR(IF(AND(INDEX('Intervals'!$G$4:$G$33,MATCH($B388,'Intervals'!$A$4:$A$33,0))&lt;&gt;"No",N(INDEX('Intervals'!$C$4:$C$33,MATCH($B388,'Intervals'!$A$4:$A$33,0)))&gt;0),$E388+N(INDEX('Intervals'!$C$4:$C$33,MATCH($B388,'Intervals'!$A$4:$A$33,0))),""),""))</f>
        <v/>
      </c>
      <c r="G388" s="20">
        <f>IF(OR($B388="",$D388=""),"",IFERROR(IF(AND(INDEX('Intervals'!$G$4:$G$33,MATCH($B388,'Intervals'!$A$4:$A$33,0))&lt;&gt;"No",N(INDEX('Intervals'!$D$4:$D$33,MATCH($B388,'Intervals'!$A$4:$A$33,0)))&gt;0),EDATE($D388,N(INDEX('Intervals'!$D$4:$D$33,MATCH($B388,'Intervals'!$A$4:$A$33,0)))),""),""))</f>
        <v/>
      </c>
      <c r="H388" s="19">
        <f>IF($A388="","",IFERROR(IF(N(INDEX('Cars'!$H$4:$H$103,MATCH($A388,'Cars'!$A$4:$A$103,0)))&gt;0,INDEX('Cars'!$H$4:$H$103,MATCH($A388,'Cars'!$A$4:$A$103,0)),""),""))</f>
        <v/>
      </c>
      <c r="I388" s="19">
        <f>IF(OR($F388="",$H388=""),"",$F388-$H388)</f>
        <v/>
      </c>
      <c r="J388" s="21">
        <f>IF($G388="","",$G388-TODAY())</f>
        <v/>
      </c>
      <c r="K388" s="21">
        <f>IF($I388="","",IFERROR(IF(N(INDEX('Cars'!$J$4:$J$103,MATCH($A388,'Cars'!$A$4:$A$103,0)))&gt;0,ROUND($I388/INDEX('Cars'!$J$4:$J$103,MATCH($A388,'Cars'!$A$4:$A$103,0))*30,0),""),""))</f>
        <v/>
      </c>
      <c r="L388" s="21">
        <f>IF(AND($J388="",$K388=""),"",MIN(IF($J388="",99999,$J388),IF($K388="",99999,$K388)))</f>
        <v/>
      </c>
      <c r="M388" s="16">
        <f>IF(AND($I388="",$J388=""),"",IF(OR(AND($I388&lt;&gt;"",N($I388)&lt;0),AND($J388&lt;&gt;"",N($J388)&lt;0)),"Overdue",IF(OR(AND($I388&lt;&gt;"",N($I388)&lt;=IFERROR(INDEX('Intervals'!$E$4:$E$33,MATCH($B388,'Intervals'!$A$4:$A$33,0)),500)),AND($J388&lt;&gt;"",N($J388)&lt;=IFERROR(INDEX('Intervals'!$F$4:$F$33,MATCH($B388,'Intervals'!$A$4:$A$33,0)),14))),"Due soon","OK")))</f>
        <v/>
      </c>
      <c r="N388" s="15" t="n"/>
      <c r="O388" s="22">
        <f>IF(OR($M388="",$M388="OK"),"",$L388+ROW()/100000)</f>
        <v/>
      </c>
    </row>
    <row r="389">
      <c r="A389" s="15" t="n"/>
      <c r="B389" s="15" t="n"/>
      <c r="C389" s="16">
        <f>IF($B389="","",IFERROR(INDEX('Intervals'!$B$4:$B$33,MATCH($B389,'Intervals'!$A$4:$A$33,0)),""))</f>
        <v/>
      </c>
      <c r="D389" s="17" t="n"/>
      <c r="E389" s="18" t="n"/>
      <c r="F389" s="19">
        <f>IF(OR($B389="",$E389=""),"",IFERROR(IF(AND(INDEX('Intervals'!$G$4:$G$33,MATCH($B389,'Intervals'!$A$4:$A$33,0))&lt;&gt;"No",N(INDEX('Intervals'!$C$4:$C$33,MATCH($B389,'Intervals'!$A$4:$A$33,0)))&gt;0),$E389+N(INDEX('Intervals'!$C$4:$C$33,MATCH($B389,'Intervals'!$A$4:$A$33,0))),""),""))</f>
        <v/>
      </c>
      <c r="G389" s="20">
        <f>IF(OR($B389="",$D389=""),"",IFERROR(IF(AND(INDEX('Intervals'!$G$4:$G$33,MATCH($B389,'Intervals'!$A$4:$A$33,0))&lt;&gt;"No",N(INDEX('Intervals'!$D$4:$D$33,MATCH($B389,'Intervals'!$A$4:$A$33,0)))&gt;0),EDATE($D389,N(INDEX('Intervals'!$D$4:$D$33,MATCH($B389,'Intervals'!$A$4:$A$33,0)))),""),""))</f>
        <v/>
      </c>
      <c r="H389" s="19">
        <f>IF($A389="","",IFERROR(IF(N(INDEX('Cars'!$H$4:$H$103,MATCH($A389,'Cars'!$A$4:$A$103,0)))&gt;0,INDEX('Cars'!$H$4:$H$103,MATCH($A389,'Cars'!$A$4:$A$103,0)),""),""))</f>
        <v/>
      </c>
      <c r="I389" s="19">
        <f>IF(OR($F389="",$H389=""),"",$F389-$H389)</f>
        <v/>
      </c>
      <c r="J389" s="21">
        <f>IF($G389="","",$G389-TODAY())</f>
        <v/>
      </c>
      <c r="K389" s="21">
        <f>IF($I389="","",IFERROR(IF(N(INDEX('Cars'!$J$4:$J$103,MATCH($A389,'Cars'!$A$4:$A$103,0)))&gt;0,ROUND($I389/INDEX('Cars'!$J$4:$J$103,MATCH($A389,'Cars'!$A$4:$A$103,0))*30,0),""),""))</f>
        <v/>
      </c>
      <c r="L389" s="21">
        <f>IF(AND($J389="",$K389=""),"",MIN(IF($J389="",99999,$J389),IF($K389="",99999,$K389)))</f>
        <v/>
      </c>
      <c r="M389" s="16">
        <f>IF(AND($I389="",$J389=""),"",IF(OR(AND($I389&lt;&gt;"",N($I389)&lt;0),AND($J389&lt;&gt;"",N($J389)&lt;0)),"Overdue",IF(OR(AND($I389&lt;&gt;"",N($I389)&lt;=IFERROR(INDEX('Intervals'!$E$4:$E$33,MATCH($B389,'Intervals'!$A$4:$A$33,0)),500)),AND($J389&lt;&gt;"",N($J389)&lt;=IFERROR(INDEX('Intervals'!$F$4:$F$33,MATCH($B389,'Intervals'!$A$4:$A$33,0)),14))),"Due soon","OK")))</f>
        <v/>
      </c>
      <c r="N389" s="15" t="n"/>
      <c r="O389" s="22">
        <f>IF(OR($M389="",$M389="OK"),"",$L389+ROW()/100000)</f>
        <v/>
      </c>
    </row>
    <row r="390">
      <c r="A390" s="15" t="n"/>
      <c r="B390" s="15" t="n"/>
      <c r="C390" s="16">
        <f>IF($B390="","",IFERROR(INDEX('Intervals'!$B$4:$B$33,MATCH($B390,'Intervals'!$A$4:$A$33,0)),""))</f>
        <v/>
      </c>
      <c r="D390" s="17" t="n"/>
      <c r="E390" s="18" t="n"/>
      <c r="F390" s="19">
        <f>IF(OR($B390="",$E390=""),"",IFERROR(IF(AND(INDEX('Intervals'!$G$4:$G$33,MATCH($B390,'Intervals'!$A$4:$A$33,0))&lt;&gt;"No",N(INDEX('Intervals'!$C$4:$C$33,MATCH($B390,'Intervals'!$A$4:$A$33,0)))&gt;0),$E390+N(INDEX('Intervals'!$C$4:$C$33,MATCH($B390,'Intervals'!$A$4:$A$33,0))),""),""))</f>
        <v/>
      </c>
      <c r="G390" s="20">
        <f>IF(OR($B390="",$D390=""),"",IFERROR(IF(AND(INDEX('Intervals'!$G$4:$G$33,MATCH($B390,'Intervals'!$A$4:$A$33,0))&lt;&gt;"No",N(INDEX('Intervals'!$D$4:$D$33,MATCH($B390,'Intervals'!$A$4:$A$33,0)))&gt;0),EDATE($D390,N(INDEX('Intervals'!$D$4:$D$33,MATCH($B390,'Intervals'!$A$4:$A$33,0)))),""),""))</f>
        <v/>
      </c>
      <c r="H390" s="19">
        <f>IF($A390="","",IFERROR(IF(N(INDEX('Cars'!$H$4:$H$103,MATCH($A390,'Cars'!$A$4:$A$103,0)))&gt;0,INDEX('Cars'!$H$4:$H$103,MATCH($A390,'Cars'!$A$4:$A$103,0)),""),""))</f>
        <v/>
      </c>
      <c r="I390" s="19">
        <f>IF(OR($F390="",$H390=""),"",$F390-$H390)</f>
        <v/>
      </c>
      <c r="J390" s="21">
        <f>IF($G390="","",$G390-TODAY())</f>
        <v/>
      </c>
      <c r="K390" s="21">
        <f>IF($I390="","",IFERROR(IF(N(INDEX('Cars'!$J$4:$J$103,MATCH($A390,'Cars'!$A$4:$A$103,0)))&gt;0,ROUND($I390/INDEX('Cars'!$J$4:$J$103,MATCH($A390,'Cars'!$A$4:$A$103,0))*30,0),""),""))</f>
        <v/>
      </c>
      <c r="L390" s="21">
        <f>IF(AND($J390="",$K390=""),"",MIN(IF($J390="",99999,$J390),IF($K390="",99999,$K390)))</f>
        <v/>
      </c>
      <c r="M390" s="16">
        <f>IF(AND($I390="",$J390=""),"",IF(OR(AND($I390&lt;&gt;"",N($I390)&lt;0),AND($J390&lt;&gt;"",N($J390)&lt;0)),"Overdue",IF(OR(AND($I390&lt;&gt;"",N($I390)&lt;=IFERROR(INDEX('Intervals'!$E$4:$E$33,MATCH($B390,'Intervals'!$A$4:$A$33,0)),500)),AND($J390&lt;&gt;"",N($J390)&lt;=IFERROR(INDEX('Intervals'!$F$4:$F$33,MATCH($B390,'Intervals'!$A$4:$A$33,0)),14))),"Due soon","OK")))</f>
        <v/>
      </c>
      <c r="N390" s="15" t="n"/>
      <c r="O390" s="22">
        <f>IF(OR($M390="",$M390="OK"),"",$L390+ROW()/100000)</f>
        <v/>
      </c>
    </row>
    <row r="391">
      <c r="A391" s="15" t="n"/>
      <c r="B391" s="15" t="n"/>
      <c r="C391" s="16">
        <f>IF($B391="","",IFERROR(INDEX('Intervals'!$B$4:$B$33,MATCH($B391,'Intervals'!$A$4:$A$33,0)),""))</f>
        <v/>
      </c>
      <c r="D391" s="17" t="n"/>
      <c r="E391" s="18" t="n"/>
      <c r="F391" s="19">
        <f>IF(OR($B391="",$E391=""),"",IFERROR(IF(AND(INDEX('Intervals'!$G$4:$G$33,MATCH($B391,'Intervals'!$A$4:$A$33,0))&lt;&gt;"No",N(INDEX('Intervals'!$C$4:$C$33,MATCH($B391,'Intervals'!$A$4:$A$33,0)))&gt;0),$E391+N(INDEX('Intervals'!$C$4:$C$33,MATCH($B391,'Intervals'!$A$4:$A$33,0))),""),""))</f>
        <v/>
      </c>
      <c r="G391" s="20">
        <f>IF(OR($B391="",$D391=""),"",IFERROR(IF(AND(INDEX('Intervals'!$G$4:$G$33,MATCH($B391,'Intervals'!$A$4:$A$33,0))&lt;&gt;"No",N(INDEX('Intervals'!$D$4:$D$33,MATCH($B391,'Intervals'!$A$4:$A$33,0)))&gt;0),EDATE($D391,N(INDEX('Intervals'!$D$4:$D$33,MATCH($B391,'Intervals'!$A$4:$A$33,0)))),""),""))</f>
        <v/>
      </c>
      <c r="H391" s="19">
        <f>IF($A391="","",IFERROR(IF(N(INDEX('Cars'!$H$4:$H$103,MATCH($A391,'Cars'!$A$4:$A$103,0)))&gt;0,INDEX('Cars'!$H$4:$H$103,MATCH($A391,'Cars'!$A$4:$A$103,0)),""),""))</f>
        <v/>
      </c>
      <c r="I391" s="19">
        <f>IF(OR($F391="",$H391=""),"",$F391-$H391)</f>
        <v/>
      </c>
      <c r="J391" s="21">
        <f>IF($G391="","",$G391-TODAY())</f>
        <v/>
      </c>
      <c r="K391" s="21">
        <f>IF($I391="","",IFERROR(IF(N(INDEX('Cars'!$J$4:$J$103,MATCH($A391,'Cars'!$A$4:$A$103,0)))&gt;0,ROUND($I391/INDEX('Cars'!$J$4:$J$103,MATCH($A391,'Cars'!$A$4:$A$103,0))*30,0),""),""))</f>
        <v/>
      </c>
      <c r="L391" s="21">
        <f>IF(AND($J391="",$K391=""),"",MIN(IF($J391="",99999,$J391),IF($K391="",99999,$K391)))</f>
        <v/>
      </c>
      <c r="M391" s="16">
        <f>IF(AND($I391="",$J391=""),"",IF(OR(AND($I391&lt;&gt;"",N($I391)&lt;0),AND($J391&lt;&gt;"",N($J391)&lt;0)),"Overdue",IF(OR(AND($I391&lt;&gt;"",N($I391)&lt;=IFERROR(INDEX('Intervals'!$E$4:$E$33,MATCH($B391,'Intervals'!$A$4:$A$33,0)),500)),AND($J391&lt;&gt;"",N($J391)&lt;=IFERROR(INDEX('Intervals'!$F$4:$F$33,MATCH($B391,'Intervals'!$A$4:$A$33,0)),14))),"Due soon","OK")))</f>
        <v/>
      </c>
      <c r="N391" s="15" t="n"/>
      <c r="O391" s="22">
        <f>IF(OR($M391="",$M391="OK"),"",$L391+ROW()/100000)</f>
        <v/>
      </c>
    </row>
    <row r="392">
      <c r="A392" s="15" t="n"/>
      <c r="B392" s="15" t="n"/>
      <c r="C392" s="16">
        <f>IF($B392="","",IFERROR(INDEX('Intervals'!$B$4:$B$33,MATCH($B392,'Intervals'!$A$4:$A$33,0)),""))</f>
        <v/>
      </c>
      <c r="D392" s="17" t="n"/>
      <c r="E392" s="18" t="n"/>
      <c r="F392" s="19">
        <f>IF(OR($B392="",$E392=""),"",IFERROR(IF(AND(INDEX('Intervals'!$G$4:$G$33,MATCH($B392,'Intervals'!$A$4:$A$33,0))&lt;&gt;"No",N(INDEX('Intervals'!$C$4:$C$33,MATCH($B392,'Intervals'!$A$4:$A$33,0)))&gt;0),$E392+N(INDEX('Intervals'!$C$4:$C$33,MATCH($B392,'Intervals'!$A$4:$A$33,0))),""),""))</f>
        <v/>
      </c>
      <c r="G392" s="20">
        <f>IF(OR($B392="",$D392=""),"",IFERROR(IF(AND(INDEX('Intervals'!$G$4:$G$33,MATCH($B392,'Intervals'!$A$4:$A$33,0))&lt;&gt;"No",N(INDEX('Intervals'!$D$4:$D$33,MATCH($B392,'Intervals'!$A$4:$A$33,0)))&gt;0),EDATE($D392,N(INDEX('Intervals'!$D$4:$D$33,MATCH($B392,'Intervals'!$A$4:$A$33,0)))),""),""))</f>
        <v/>
      </c>
      <c r="H392" s="19">
        <f>IF($A392="","",IFERROR(IF(N(INDEX('Cars'!$H$4:$H$103,MATCH($A392,'Cars'!$A$4:$A$103,0)))&gt;0,INDEX('Cars'!$H$4:$H$103,MATCH($A392,'Cars'!$A$4:$A$103,0)),""),""))</f>
        <v/>
      </c>
      <c r="I392" s="19">
        <f>IF(OR($F392="",$H392=""),"",$F392-$H392)</f>
        <v/>
      </c>
      <c r="J392" s="21">
        <f>IF($G392="","",$G392-TODAY())</f>
        <v/>
      </c>
      <c r="K392" s="21">
        <f>IF($I392="","",IFERROR(IF(N(INDEX('Cars'!$J$4:$J$103,MATCH($A392,'Cars'!$A$4:$A$103,0)))&gt;0,ROUND($I392/INDEX('Cars'!$J$4:$J$103,MATCH($A392,'Cars'!$A$4:$A$103,0))*30,0),""),""))</f>
        <v/>
      </c>
      <c r="L392" s="21">
        <f>IF(AND($J392="",$K392=""),"",MIN(IF($J392="",99999,$J392),IF($K392="",99999,$K392)))</f>
        <v/>
      </c>
      <c r="M392" s="16">
        <f>IF(AND($I392="",$J392=""),"",IF(OR(AND($I392&lt;&gt;"",N($I392)&lt;0),AND($J392&lt;&gt;"",N($J392)&lt;0)),"Overdue",IF(OR(AND($I392&lt;&gt;"",N($I392)&lt;=IFERROR(INDEX('Intervals'!$E$4:$E$33,MATCH($B392,'Intervals'!$A$4:$A$33,0)),500)),AND($J392&lt;&gt;"",N($J392)&lt;=IFERROR(INDEX('Intervals'!$F$4:$F$33,MATCH($B392,'Intervals'!$A$4:$A$33,0)),14))),"Due soon","OK")))</f>
        <v/>
      </c>
      <c r="N392" s="15" t="n"/>
      <c r="O392" s="22">
        <f>IF(OR($M392="",$M392="OK"),"",$L392+ROW()/100000)</f>
        <v/>
      </c>
    </row>
    <row r="393">
      <c r="A393" s="15" t="n"/>
      <c r="B393" s="15" t="n"/>
      <c r="C393" s="16">
        <f>IF($B393="","",IFERROR(INDEX('Intervals'!$B$4:$B$33,MATCH($B393,'Intervals'!$A$4:$A$33,0)),""))</f>
        <v/>
      </c>
      <c r="D393" s="17" t="n"/>
      <c r="E393" s="18" t="n"/>
      <c r="F393" s="19">
        <f>IF(OR($B393="",$E393=""),"",IFERROR(IF(AND(INDEX('Intervals'!$G$4:$G$33,MATCH($B393,'Intervals'!$A$4:$A$33,0))&lt;&gt;"No",N(INDEX('Intervals'!$C$4:$C$33,MATCH($B393,'Intervals'!$A$4:$A$33,0)))&gt;0),$E393+N(INDEX('Intervals'!$C$4:$C$33,MATCH($B393,'Intervals'!$A$4:$A$33,0))),""),""))</f>
        <v/>
      </c>
      <c r="G393" s="20">
        <f>IF(OR($B393="",$D393=""),"",IFERROR(IF(AND(INDEX('Intervals'!$G$4:$G$33,MATCH($B393,'Intervals'!$A$4:$A$33,0))&lt;&gt;"No",N(INDEX('Intervals'!$D$4:$D$33,MATCH($B393,'Intervals'!$A$4:$A$33,0)))&gt;0),EDATE($D393,N(INDEX('Intervals'!$D$4:$D$33,MATCH($B393,'Intervals'!$A$4:$A$33,0)))),""),""))</f>
        <v/>
      </c>
      <c r="H393" s="19">
        <f>IF($A393="","",IFERROR(IF(N(INDEX('Cars'!$H$4:$H$103,MATCH($A393,'Cars'!$A$4:$A$103,0)))&gt;0,INDEX('Cars'!$H$4:$H$103,MATCH($A393,'Cars'!$A$4:$A$103,0)),""),""))</f>
        <v/>
      </c>
      <c r="I393" s="19">
        <f>IF(OR($F393="",$H393=""),"",$F393-$H393)</f>
        <v/>
      </c>
      <c r="J393" s="21">
        <f>IF($G393="","",$G393-TODAY())</f>
        <v/>
      </c>
      <c r="K393" s="21">
        <f>IF($I393="","",IFERROR(IF(N(INDEX('Cars'!$J$4:$J$103,MATCH($A393,'Cars'!$A$4:$A$103,0)))&gt;0,ROUND($I393/INDEX('Cars'!$J$4:$J$103,MATCH($A393,'Cars'!$A$4:$A$103,0))*30,0),""),""))</f>
        <v/>
      </c>
      <c r="L393" s="21">
        <f>IF(AND($J393="",$K393=""),"",MIN(IF($J393="",99999,$J393),IF($K393="",99999,$K393)))</f>
        <v/>
      </c>
      <c r="M393" s="16">
        <f>IF(AND($I393="",$J393=""),"",IF(OR(AND($I393&lt;&gt;"",N($I393)&lt;0),AND($J393&lt;&gt;"",N($J393)&lt;0)),"Overdue",IF(OR(AND($I393&lt;&gt;"",N($I393)&lt;=IFERROR(INDEX('Intervals'!$E$4:$E$33,MATCH($B393,'Intervals'!$A$4:$A$33,0)),500)),AND($J393&lt;&gt;"",N($J393)&lt;=IFERROR(INDEX('Intervals'!$F$4:$F$33,MATCH($B393,'Intervals'!$A$4:$A$33,0)),14))),"Due soon","OK")))</f>
        <v/>
      </c>
      <c r="N393" s="15" t="n"/>
      <c r="O393" s="22">
        <f>IF(OR($M393="",$M393="OK"),"",$L393+ROW()/100000)</f>
        <v/>
      </c>
    </row>
    <row r="394">
      <c r="A394" s="15" t="n"/>
      <c r="B394" s="15" t="n"/>
      <c r="C394" s="16">
        <f>IF($B394="","",IFERROR(INDEX('Intervals'!$B$4:$B$33,MATCH($B394,'Intervals'!$A$4:$A$33,0)),""))</f>
        <v/>
      </c>
      <c r="D394" s="17" t="n"/>
      <c r="E394" s="18" t="n"/>
      <c r="F394" s="19">
        <f>IF(OR($B394="",$E394=""),"",IFERROR(IF(AND(INDEX('Intervals'!$G$4:$G$33,MATCH($B394,'Intervals'!$A$4:$A$33,0))&lt;&gt;"No",N(INDEX('Intervals'!$C$4:$C$33,MATCH($B394,'Intervals'!$A$4:$A$33,0)))&gt;0),$E394+N(INDEX('Intervals'!$C$4:$C$33,MATCH($B394,'Intervals'!$A$4:$A$33,0))),""),""))</f>
        <v/>
      </c>
      <c r="G394" s="20">
        <f>IF(OR($B394="",$D394=""),"",IFERROR(IF(AND(INDEX('Intervals'!$G$4:$G$33,MATCH($B394,'Intervals'!$A$4:$A$33,0))&lt;&gt;"No",N(INDEX('Intervals'!$D$4:$D$33,MATCH($B394,'Intervals'!$A$4:$A$33,0)))&gt;0),EDATE($D394,N(INDEX('Intervals'!$D$4:$D$33,MATCH($B394,'Intervals'!$A$4:$A$33,0)))),""),""))</f>
        <v/>
      </c>
      <c r="H394" s="19">
        <f>IF($A394="","",IFERROR(IF(N(INDEX('Cars'!$H$4:$H$103,MATCH($A394,'Cars'!$A$4:$A$103,0)))&gt;0,INDEX('Cars'!$H$4:$H$103,MATCH($A394,'Cars'!$A$4:$A$103,0)),""),""))</f>
        <v/>
      </c>
      <c r="I394" s="19">
        <f>IF(OR($F394="",$H394=""),"",$F394-$H394)</f>
        <v/>
      </c>
      <c r="J394" s="21">
        <f>IF($G394="","",$G394-TODAY())</f>
        <v/>
      </c>
      <c r="K394" s="21">
        <f>IF($I394="","",IFERROR(IF(N(INDEX('Cars'!$J$4:$J$103,MATCH($A394,'Cars'!$A$4:$A$103,0)))&gt;0,ROUND($I394/INDEX('Cars'!$J$4:$J$103,MATCH($A394,'Cars'!$A$4:$A$103,0))*30,0),""),""))</f>
        <v/>
      </c>
      <c r="L394" s="21">
        <f>IF(AND($J394="",$K394=""),"",MIN(IF($J394="",99999,$J394),IF($K394="",99999,$K394)))</f>
        <v/>
      </c>
      <c r="M394" s="16">
        <f>IF(AND($I394="",$J394=""),"",IF(OR(AND($I394&lt;&gt;"",N($I394)&lt;0),AND($J394&lt;&gt;"",N($J394)&lt;0)),"Overdue",IF(OR(AND($I394&lt;&gt;"",N($I394)&lt;=IFERROR(INDEX('Intervals'!$E$4:$E$33,MATCH($B394,'Intervals'!$A$4:$A$33,0)),500)),AND($J394&lt;&gt;"",N($J394)&lt;=IFERROR(INDEX('Intervals'!$F$4:$F$33,MATCH($B394,'Intervals'!$A$4:$A$33,0)),14))),"Due soon","OK")))</f>
        <v/>
      </c>
      <c r="N394" s="15" t="n"/>
      <c r="O394" s="22">
        <f>IF(OR($M394="",$M394="OK"),"",$L394+ROW()/100000)</f>
        <v/>
      </c>
    </row>
    <row r="395">
      <c r="A395" s="15" t="n"/>
      <c r="B395" s="15" t="n"/>
      <c r="C395" s="16">
        <f>IF($B395="","",IFERROR(INDEX('Intervals'!$B$4:$B$33,MATCH($B395,'Intervals'!$A$4:$A$33,0)),""))</f>
        <v/>
      </c>
      <c r="D395" s="17" t="n"/>
      <c r="E395" s="18" t="n"/>
      <c r="F395" s="19">
        <f>IF(OR($B395="",$E395=""),"",IFERROR(IF(AND(INDEX('Intervals'!$G$4:$G$33,MATCH($B395,'Intervals'!$A$4:$A$33,0))&lt;&gt;"No",N(INDEX('Intervals'!$C$4:$C$33,MATCH($B395,'Intervals'!$A$4:$A$33,0)))&gt;0),$E395+N(INDEX('Intervals'!$C$4:$C$33,MATCH($B395,'Intervals'!$A$4:$A$33,0))),""),""))</f>
        <v/>
      </c>
      <c r="G395" s="20">
        <f>IF(OR($B395="",$D395=""),"",IFERROR(IF(AND(INDEX('Intervals'!$G$4:$G$33,MATCH($B395,'Intervals'!$A$4:$A$33,0))&lt;&gt;"No",N(INDEX('Intervals'!$D$4:$D$33,MATCH($B395,'Intervals'!$A$4:$A$33,0)))&gt;0),EDATE($D395,N(INDEX('Intervals'!$D$4:$D$33,MATCH($B395,'Intervals'!$A$4:$A$33,0)))),""),""))</f>
        <v/>
      </c>
      <c r="H395" s="19">
        <f>IF($A395="","",IFERROR(IF(N(INDEX('Cars'!$H$4:$H$103,MATCH($A395,'Cars'!$A$4:$A$103,0)))&gt;0,INDEX('Cars'!$H$4:$H$103,MATCH($A395,'Cars'!$A$4:$A$103,0)),""),""))</f>
        <v/>
      </c>
      <c r="I395" s="19">
        <f>IF(OR($F395="",$H395=""),"",$F395-$H395)</f>
        <v/>
      </c>
      <c r="J395" s="21">
        <f>IF($G395="","",$G395-TODAY())</f>
        <v/>
      </c>
      <c r="K395" s="21">
        <f>IF($I395="","",IFERROR(IF(N(INDEX('Cars'!$J$4:$J$103,MATCH($A395,'Cars'!$A$4:$A$103,0)))&gt;0,ROUND($I395/INDEX('Cars'!$J$4:$J$103,MATCH($A395,'Cars'!$A$4:$A$103,0))*30,0),""),""))</f>
        <v/>
      </c>
      <c r="L395" s="21">
        <f>IF(AND($J395="",$K395=""),"",MIN(IF($J395="",99999,$J395),IF($K395="",99999,$K395)))</f>
        <v/>
      </c>
      <c r="M395" s="16">
        <f>IF(AND($I395="",$J395=""),"",IF(OR(AND($I395&lt;&gt;"",N($I395)&lt;0),AND($J395&lt;&gt;"",N($J395)&lt;0)),"Overdue",IF(OR(AND($I395&lt;&gt;"",N($I395)&lt;=IFERROR(INDEX('Intervals'!$E$4:$E$33,MATCH($B395,'Intervals'!$A$4:$A$33,0)),500)),AND($J395&lt;&gt;"",N($J395)&lt;=IFERROR(INDEX('Intervals'!$F$4:$F$33,MATCH($B395,'Intervals'!$A$4:$A$33,0)),14))),"Due soon","OK")))</f>
        <v/>
      </c>
      <c r="N395" s="15" t="n"/>
      <c r="O395" s="22">
        <f>IF(OR($M395="",$M395="OK"),"",$L395+ROW()/100000)</f>
        <v/>
      </c>
    </row>
    <row r="396">
      <c r="A396" s="15" t="n"/>
      <c r="B396" s="15" t="n"/>
      <c r="C396" s="16">
        <f>IF($B396="","",IFERROR(INDEX('Intervals'!$B$4:$B$33,MATCH($B396,'Intervals'!$A$4:$A$33,0)),""))</f>
        <v/>
      </c>
      <c r="D396" s="17" t="n"/>
      <c r="E396" s="18" t="n"/>
      <c r="F396" s="19">
        <f>IF(OR($B396="",$E396=""),"",IFERROR(IF(AND(INDEX('Intervals'!$G$4:$G$33,MATCH($B396,'Intervals'!$A$4:$A$33,0))&lt;&gt;"No",N(INDEX('Intervals'!$C$4:$C$33,MATCH($B396,'Intervals'!$A$4:$A$33,0)))&gt;0),$E396+N(INDEX('Intervals'!$C$4:$C$33,MATCH($B396,'Intervals'!$A$4:$A$33,0))),""),""))</f>
        <v/>
      </c>
      <c r="G396" s="20">
        <f>IF(OR($B396="",$D396=""),"",IFERROR(IF(AND(INDEX('Intervals'!$G$4:$G$33,MATCH($B396,'Intervals'!$A$4:$A$33,0))&lt;&gt;"No",N(INDEX('Intervals'!$D$4:$D$33,MATCH($B396,'Intervals'!$A$4:$A$33,0)))&gt;0),EDATE($D396,N(INDEX('Intervals'!$D$4:$D$33,MATCH($B396,'Intervals'!$A$4:$A$33,0)))),""),""))</f>
        <v/>
      </c>
      <c r="H396" s="19">
        <f>IF($A396="","",IFERROR(IF(N(INDEX('Cars'!$H$4:$H$103,MATCH($A396,'Cars'!$A$4:$A$103,0)))&gt;0,INDEX('Cars'!$H$4:$H$103,MATCH($A396,'Cars'!$A$4:$A$103,0)),""),""))</f>
        <v/>
      </c>
      <c r="I396" s="19">
        <f>IF(OR($F396="",$H396=""),"",$F396-$H396)</f>
        <v/>
      </c>
      <c r="J396" s="21">
        <f>IF($G396="","",$G396-TODAY())</f>
        <v/>
      </c>
      <c r="K396" s="21">
        <f>IF($I396="","",IFERROR(IF(N(INDEX('Cars'!$J$4:$J$103,MATCH($A396,'Cars'!$A$4:$A$103,0)))&gt;0,ROUND($I396/INDEX('Cars'!$J$4:$J$103,MATCH($A396,'Cars'!$A$4:$A$103,0))*30,0),""),""))</f>
        <v/>
      </c>
      <c r="L396" s="21">
        <f>IF(AND($J396="",$K396=""),"",MIN(IF($J396="",99999,$J396),IF($K396="",99999,$K396)))</f>
        <v/>
      </c>
      <c r="M396" s="16">
        <f>IF(AND($I396="",$J396=""),"",IF(OR(AND($I396&lt;&gt;"",N($I396)&lt;0),AND($J396&lt;&gt;"",N($J396)&lt;0)),"Overdue",IF(OR(AND($I396&lt;&gt;"",N($I396)&lt;=IFERROR(INDEX('Intervals'!$E$4:$E$33,MATCH($B396,'Intervals'!$A$4:$A$33,0)),500)),AND($J396&lt;&gt;"",N($J396)&lt;=IFERROR(INDEX('Intervals'!$F$4:$F$33,MATCH($B396,'Intervals'!$A$4:$A$33,0)),14))),"Due soon","OK")))</f>
        <v/>
      </c>
      <c r="N396" s="15" t="n"/>
      <c r="O396" s="22">
        <f>IF(OR($M396="",$M396="OK"),"",$L396+ROW()/100000)</f>
        <v/>
      </c>
    </row>
    <row r="397">
      <c r="A397" s="15" t="n"/>
      <c r="B397" s="15" t="n"/>
      <c r="C397" s="16">
        <f>IF($B397="","",IFERROR(INDEX('Intervals'!$B$4:$B$33,MATCH($B397,'Intervals'!$A$4:$A$33,0)),""))</f>
        <v/>
      </c>
      <c r="D397" s="17" t="n"/>
      <c r="E397" s="18" t="n"/>
      <c r="F397" s="19">
        <f>IF(OR($B397="",$E397=""),"",IFERROR(IF(AND(INDEX('Intervals'!$G$4:$G$33,MATCH($B397,'Intervals'!$A$4:$A$33,0))&lt;&gt;"No",N(INDEX('Intervals'!$C$4:$C$33,MATCH($B397,'Intervals'!$A$4:$A$33,0)))&gt;0),$E397+N(INDEX('Intervals'!$C$4:$C$33,MATCH($B397,'Intervals'!$A$4:$A$33,0))),""),""))</f>
        <v/>
      </c>
      <c r="G397" s="20">
        <f>IF(OR($B397="",$D397=""),"",IFERROR(IF(AND(INDEX('Intervals'!$G$4:$G$33,MATCH($B397,'Intervals'!$A$4:$A$33,0))&lt;&gt;"No",N(INDEX('Intervals'!$D$4:$D$33,MATCH($B397,'Intervals'!$A$4:$A$33,0)))&gt;0),EDATE($D397,N(INDEX('Intervals'!$D$4:$D$33,MATCH($B397,'Intervals'!$A$4:$A$33,0)))),""),""))</f>
        <v/>
      </c>
      <c r="H397" s="19">
        <f>IF($A397="","",IFERROR(IF(N(INDEX('Cars'!$H$4:$H$103,MATCH($A397,'Cars'!$A$4:$A$103,0)))&gt;0,INDEX('Cars'!$H$4:$H$103,MATCH($A397,'Cars'!$A$4:$A$103,0)),""),""))</f>
        <v/>
      </c>
      <c r="I397" s="19">
        <f>IF(OR($F397="",$H397=""),"",$F397-$H397)</f>
        <v/>
      </c>
      <c r="J397" s="21">
        <f>IF($G397="","",$G397-TODAY())</f>
        <v/>
      </c>
      <c r="K397" s="21">
        <f>IF($I397="","",IFERROR(IF(N(INDEX('Cars'!$J$4:$J$103,MATCH($A397,'Cars'!$A$4:$A$103,0)))&gt;0,ROUND($I397/INDEX('Cars'!$J$4:$J$103,MATCH($A397,'Cars'!$A$4:$A$103,0))*30,0),""),""))</f>
        <v/>
      </c>
      <c r="L397" s="21">
        <f>IF(AND($J397="",$K397=""),"",MIN(IF($J397="",99999,$J397),IF($K397="",99999,$K397)))</f>
        <v/>
      </c>
      <c r="M397" s="16">
        <f>IF(AND($I397="",$J397=""),"",IF(OR(AND($I397&lt;&gt;"",N($I397)&lt;0),AND($J397&lt;&gt;"",N($J397)&lt;0)),"Overdue",IF(OR(AND($I397&lt;&gt;"",N($I397)&lt;=IFERROR(INDEX('Intervals'!$E$4:$E$33,MATCH($B397,'Intervals'!$A$4:$A$33,0)),500)),AND($J397&lt;&gt;"",N($J397)&lt;=IFERROR(INDEX('Intervals'!$F$4:$F$33,MATCH($B397,'Intervals'!$A$4:$A$33,0)),14))),"Due soon","OK")))</f>
        <v/>
      </c>
      <c r="N397" s="15" t="n"/>
      <c r="O397" s="22">
        <f>IF(OR($M397="",$M397="OK"),"",$L397+ROW()/100000)</f>
        <v/>
      </c>
    </row>
    <row r="398">
      <c r="A398" s="15" t="n"/>
      <c r="B398" s="15" t="n"/>
      <c r="C398" s="16">
        <f>IF($B398="","",IFERROR(INDEX('Intervals'!$B$4:$B$33,MATCH($B398,'Intervals'!$A$4:$A$33,0)),""))</f>
        <v/>
      </c>
      <c r="D398" s="17" t="n"/>
      <c r="E398" s="18" t="n"/>
      <c r="F398" s="19">
        <f>IF(OR($B398="",$E398=""),"",IFERROR(IF(AND(INDEX('Intervals'!$G$4:$G$33,MATCH($B398,'Intervals'!$A$4:$A$33,0))&lt;&gt;"No",N(INDEX('Intervals'!$C$4:$C$33,MATCH($B398,'Intervals'!$A$4:$A$33,0)))&gt;0),$E398+N(INDEX('Intervals'!$C$4:$C$33,MATCH($B398,'Intervals'!$A$4:$A$33,0))),""),""))</f>
        <v/>
      </c>
      <c r="G398" s="20">
        <f>IF(OR($B398="",$D398=""),"",IFERROR(IF(AND(INDEX('Intervals'!$G$4:$G$33,MATCH($B398,'Intervals'!$A$4:$A$33,0))&lt;&gt;"No",N(INDEX('Intervals'!$D$4:$D$33,MATCH($B398,'Intervals'!$A$4:$A$33,0)))&gt;0),EDATE($D398,N(INDEX('Intervals'!$D$4:$D$33,MATCH($B398,'Intervals'!$A$4:$A$33,0)))),""),""))</f>
        <v/>
      </c>
      <c r="H398" s="19">
        <f>IF($A398="","",IFERROR(IF(N(INDEX('Cars'!$H$4:$H$103,MATCH($A398,'Cars'!$A$4:$A$103,0)))&gt;0,INDEX('Cars'!$H$4:$H$103,MATCH($A398,'Cars'!$A$4:$A$103,0)),""),""))</f>
        <v/>
      </c>
      <c r="I398" s="19">
        <f>IF(OR($F398="",$H398=""),"",$F398-$H398)</f>
        <v/>
      </c>
      <c r="J398" s="21">
        <f>IF($G398="","",$G398-TODAY())</f>
        <v/>
      </c>
      <c r="K398" s="21">
        <f>IF($I398="","",IFERROR(IF(N(INDEX('Cars'!$J$4:$J$103,MATCH($A398,'Cars'!$A$4:$A$103,0)))&gt;0,ROUND($I398/INDEX('Cars'!$J$4:$J$103,MATCH($A398,'Cars'!$A$4:$A$103,0))*30,0),""),""))</f>
        <v/>
      </c>
      <c r="L398" s="21">
        <f>IF(AND($J398="",$K398=""),"",MIN(IF($J398="",99999,$J398),IF($K398="",99999,$K398)))</f>
        <v/>
      </c>
      <c r="M398" s="16">
        <f>IF(AND($I398="",$J398=""),"",IF(OR(AND($I398&lt;&gt;"",N($I398)&lt;0),AND($J398&lt;&gt;"",N($J398)&lt;0)),"Overdue",IF(OR(AND($I398&lt;&gt;"",N($I398)&lt;=IFERROR(INDEX('Intervals'!$E$4:$E$33,MATCH($B398,'Intervals'!$A$4:$A$33,0)),500)),AND($J398&lt;&gt;"",N($J398)&lt;=IFERROR(INDEX('Intervals'!$F$4:$F$33,MATCH($B398,'Intervals'!$A$4:$A$33,0)),14))),"Due soon","OK")))</f>
        <v/>
      </c>
      <c r="N398" s="15" t="n"/>
      <c r="O398" s="22">
        <f>IF(OR($M398="",$M398="OK"),"",$L398+ROW()/100000)</f>
        <v/>
      </c>
    </row>
    <row r="399">
      <c r="A399" s="15" t="n"/>
      <c r="B399" s="15" t="n"/>
      <c r="C399" s="16">
        <f>IF($B399="","",IFERROR(INDEX('Intervals'!$B$4:$B$33,MATCH($B399,'Intervals'!$A$4:$A$33,0)),""))</f>
        <v/>
      </c>
      <c r="D399" s="17" t="n"/>
      <c r="E399" s="18" t="n"/>
      <c r="F399" s="19">
        <f>IF(OR($B399="",$E399=""),"",IFERROR(IF(AND(INDEX('Intervals'!$G$4:$G$33,MATCH($B399,'Intervals'!$A$4:$A$33,0))&lt;&gt;"No",N(INDEX('Intervals'!$C$4:$C$33,MATCH($B399,'Intervals'!$A$4:$A$33,0)))&gt;0),$E399+N(INDEX('Intervals'!$C$4:$C$33,MATCH($B399,'Intervals'!$A$4:$A$33,0))),""),""))</f>
        <v/>
      </c>
      <c r="G399" s="20">
        <f>IF(OR($B399="",$D399=""),"",IFERROR(IF(AND(INDEX('Intervals'!$G$4:$G$33,MATCH($B399,'Intervals'!$A$4:$A$33,0))&lt;&gt;"No",N(INDEX('Intervals'!$D$4:$D$33,MATCH($B399,'Intervals'!$A$4:$A$33,0)))&gt;0),EDATE($D399,N(INDEX('Intervals'!$D$4:$D$33,MATCH($B399,'Intervals'!$A$4:$A$33,0)))),""),""))</f>
        <v/>
      </c>
      <c r="H399" s="19">
        <f>IF($A399="","",IFERROR(IF(N(INDEX('Cars'!$H$4:$H$103,MATCH($A399,'Cars'!$A$4:$A$103,0)))&gt;0,INDEX('Cars'!$H$4:$H$103,MATCH($A399,'Cars'!$A$4:$A$103,0)),""),""))</f>
        <v/>
      </c>
      <c r="I399" s="19">
        <f>IF(OR($F399="",$H399=""),"",$F399-$H399)</f>
        <v/>
      </c>
      <c r="J399" s="21">
        <f>IF($G399="","",$G399-TODAY())</f>
        <v/>
      </c>
      <c r="K399" s="21">
        <f>IF($I399="","",IFERROR(IF(N(INDEX('Cars'!$J$4:$J$103,MATCH($A399,'Cars'!$A$4:$A$103,0)))&gt;0,ROUND($I399/INDEX('Cars'!$J$4:$J$103,MATCH($A399,'Cars'!$A$4:$A$103,0))*30,0),""),""))</f>
        <v/>
      </c>
      <c r="L399" s="21">
        <f>IF(AND($J399="",$K399=""),"",MIN(IF($J399="",99999,$J399),IF($K399="",99999,$K399)))</f>
        <v/>
      </c>
      <c r="M399" s="16">
        <f>IF(AND($I399="",$J399=""),"",IF(OR(AND($I399&lt;&gt;"",N($I399)&lt;0),AND($J399&lt;&gt;"",N($J399)&lt;0)),"Overdue",IF(OR(AND($I399&lt;&gt;"",N($I399)&lt;=IFERROR(INDEX('Intervals'!$E$4:$E$33,MATCH($B399,'Intervals'!$A$4:$A$33,0)),500)),AND($J399&lt;&gt;"",N($J399)&lt;=IFERROR(INDEX('Intervals'!$F$4:$F$33,MATCH($B399,'Intervals'!$A$4:$A$33,0)),14))),"Due soon","OK")))</f>
        <v/>
      </c>
      <c r="N399" s="15" t="n"/>
      <c r="O399" s="22">
        <f>IF(OR($M399="",$M399="OK"),"",$L399+ROW()/100000)</f>
        <v/>
      </c>
    </row>
    <row r="400">
      <c r="A400" s="15" t="n"/>
      <c r="B400" s="15" t="n"/>
      <c r="C400" s="16">
        <f>IF($B400="","",IFERROR(INDEX('Intervals'!$B$4:$B$33,MATCH($B400,'Intervals'!$A$4:$A$33,0)),""))</f>
        <v/>
      </c>
      <c r="D400" s="17" t="n"/>
      <c r="E400" s="18" t="n"/>
      <c r="F400" s="19">
        <f>IF(OR($B400="",$E400=""),"",IFERROR(IF(AND(INDEX('Intervals'!$G$4:$G$33,MATCH($B400,'Intervals'!$A$4:$A$33,0))&lt;&gt;"No",N(INDEX('Intervals'!$C$4:$C$33,MATCH($B400,'Intervals'!$A$4:$A$33,0)))&gt;0),$E400+N(INDEX('Intervals'!$C$4:$C$33,MATCH($B400,'Intervals'!$A$4:$A$33,0))),""),""))</f>
        <v/>
      </c>
      <c r="G400" s="20">
        <f>IF(OR($B400="",$D400=""),"",IFERROR(IF(AND(INDEX('Intervals'!$G$4:$G$33,MATCH($B400,'Intervals'!$A$4:$A$33,0))&lt;&gt;"No",N(INDEX('Intervals'!$D$4:$D$33,MATCH($B400,'Intervals'!$A$4:$A$33,0)))&gt;0),EDATE($D400,N(INDEX('Intervals'!$D$4:$D$33,MATCH($B400,'Intervals'!$A$4:$A$33,0)))),""),""))</f>
        <v/>
      </c>
      <c r="H400" s="19">
        <f>IF($A400="","",IFERROR(IF(N(INDEX('Cars'!$H$4:$H$103,MATCH($A400,'Cars'!$A$4:$A$103,0)))&gt;0,INDEX('Cars'!$H$4:$H$103,MATCH($A400,'Cars'!$A$4:$A$103,0)),""),""))</f>
        <v/>
      </c>
      <c r="I400" s="19">
        <f>IF(OR($F400="",$H400=""),"",$F400-$H400)</f>
        <v/>
      </c>
      <c r="J400" s="21">
        <f>IF($G400="","",$G400-TODAY())</f>
        <v/>
      </c>
      <c r="K400" s="21">
        <f>IF($I400="","",IFERROR(IF(N(INDEX('Cars'!$J$4:$J$103,MATCH($A400,'Cars'!$A$4:$A$103,0)))&gt;0,ROUND($I400/INDEX('Cars'!$J$4:$J$103,MATCH($A400,'Cars'!$A$4:$A$103,0))*30,0),""),""))</f>
        <v/>
      </c>
      <c r="L400" s="21">
        <f>IF(AND($J400="",$K400=""),"",MIN(IF($J400="",99999,$J400),IF($K400="",99999,$K400)))</f>
        <v/>
      </c>
      <c r="M400" s="16">
        <f>IF(AND($I400="",$J400=""),"",IF(OR(AND($I400&lt;&gt;"",N($I400)&lt;0),AND($J400&lt;&gt;"",N($J400)&lt;0)),"Overdue",IF(OR(AND($I400&lt;&gt;"",N($I400)&lt;=IFERROR(INDEX('Intervals'!$E$4:$E$33,MATCH($B400,'Intervals'!$A$4:$A$33,0)),500)),AND($J400&lt;&gt;"",N($J400)&lt;=IFERROR(INDEX('Intervals'!$F$4:$F$33,MATCH($B400,'Intervals'!$A$4:$A$33,0)),14))),"Due soon","OK")))</f>
        <v/>
      </c>
      <c r="N400" s="15" t="n"/>
      <c r="O400" s="22">
        <f>IF(OR($M400="",$M400="OK"),"",$L400+ROW()/100000)</f>
        <v/>
      </c>
    </row>
    <row r="401">
      <c r="A401" s="15" t="n"/>
      <c r="B401" s="15" t="n"/>
      <c r="C401" s="16">
        <f>IF($B401="","",IFERROR(INDEX('Intervals'!$B$4:$B$33,MATCH($B401,'Intervals'!$A$4:$A$33,0)),""))</f>
        <v/>
      </c>
      <c r="D401" s="17" t="n"/>
      <c r="E401" s="18" t="n"/>
      <c r="F401" s="19">
        <f>IF(OR($B401="",$E401=""),"",IFERROR(IF(AND(INDEX('Intervals'!$G$4:$G$33,MATCH($B401,'Intervals'!$A$4:$A$33,0))&lt;&gt;"No",N(INDEX('Intervals'!$C$4:$C$33,MATCH($B401,'Intervals'!$A$4:$A$33,0)))&gt;0),$E401+N(INDEX('Intervals'!$C$4:$C$33,MATCH($B401,'Intervals'!$A$4:$A$33,0))),""),""))</f>
        <v/>
      </c>
      <c r="G401" s="20">
        <f>IF(OR($B401="",$D401=""),"",IFERROR(IF(AND(INDEX('Intervals'!$G$4:$G$33,MATCH($B401,'Intervals'!$A$4:$A$33,0))&lt;&gt;"No",N(INDEX('Intervals'!$D$4:$D$33,MATCH($B401,'Intervals'!$A$4:$A$33,0)))&gt;0),EDATE($D401,N(INDEX('Intervals'!$D$4:$D$33,MATCH($B401,'Intervals'!$A$4:$A$33,0)))),""),""))</f>
        <v/>
      </c>
      <c r="H401" s="19">
        <f>IF($A401="","",IFERROR(IF(N(INDEX('Cars'!$H$4:$H$103,MATCH($A401,'Cars'!$A$4:$A$103,0)))&gt;0,INDEX('Cars'!$H$4:$H$103,MATCH($A401,'Cars'!$A$4:$A$103,0)),""),""))</f>
        <v/>
      </c>
      <c r="I401" s="19">
        <f>IF(OR($F401="",$H401=""),"",$F401-$H401)</f>
        <v/>
      </c>
      <c r="J401" s="21">
        <f>IF($G401="","",$G401-TODAY())</f>
        <v/>
      </c>
      <c r="K401" s="21">
        <f>IF($I401="","",IFERROR(IF(N(INDEX('Cars'!$J$4:$J$103,MATCH($A401,'Cars'!$A$4:$A$103,0)))&gt;0,ROUND($I401/INDEX('Cars'!$J$4:$J$103,MATCH($A401,'Cars'!$A$4:$A$103,0))*30,0),""),""))</f>
        <v/>
      </c>
      <c r="L401" s="21">
        <f>IF(AND($J401="",$K401=""),"",MIN(IF($J401="",99999,$J401),IF($K401="",99999,$K401)))</f>
        <v/>
      </c>
      <c r="M401" s="16">
        <f>IF(AND($I401="",$J401=""),"",IF(OR(AND($I401&lt;&gt;"",N($I401)&lt;0),AND($J401&lt;&gt;"",N($J401)&lt;0)),"Overdue",IF(OR(AND($I401&lt;&gt;"",N($I401)&lt;=IFERROR(INDEX('Intervals'!$E$4:$E$33,MATCH($B401,'Intervals'!$A$4:$A$33,0)),500)),AND($J401&lt;&gt;"",N($J401)&lt;=IFERROR(INDEX('Intervals'!$F$4:$F$33,MATCH($B401,'Intervals'!$A$4:$A$33,0)),14))),"Due soon","OK")))</f>
        <v/>
      </c>
      <c r="N401" s="15" t="n"/>
      <c r="O401" s="22">
        <f>IF(OR($M401="",$M401="OK"),"",$L401+ROW()/100000)</f>
        <v/>
      </c>
    </row>
    <row r="402">
      <c r="A402" s="15" t="n"/>
      <c r="B402" s="15" t="n"/>
      <c r="C402" s="16">
        <f>IF($B402="","",IFERROR(INDEX('Intervals'!$B$4:$B$33,MATCH($B402,'Intervals'!$A$4:$A$33,0)),""))</f>
        <v/>
      </c>
      <c r="D402" s="17" t="n"/>
      <c r="E402" s="18" t="n"/>
      <c r="F402" s="19">
        <f>IF(OR($B402="",$E402=""),"",IFERROR(IF(AND(INDEX('Intervals'!$G$4:$G$33,MATCH($B402,'Intervals'!$A$4:$A$33,0))&lt;&gt;"No",N(INDEX('Intervals'!$C$4:$C$33,MATCH($B402,'Intervals'!$A$4:$A$33,0)))&gt;0),$E402+N(INDEX('Intervals'!$C$4:$C$33,MATCH($B402,'Intervals'!$A$4:$A$33,0))),""),""))</f>
        <v/>
      </c>
      <c r="G402" s="20">
        <f>IF(OR($B402="",$D402=""),"",IFERROR(IF(AND(INDEX('Intervals'!$G$4:$G$33,MATCH($B402,'Intervals'!$A$4:$A$33,0))&lt;&gt;"No",N(INDEX('Intervals'!$D$4:$D$33,MATCH($B402,'Intervals'!$A$4:$A$33,0)))&gt;0),EDATE($D402,N(INDEX('Intervals'!$D$4:$D$33,MATCH($B402,'Intervals'!$A$4:$A$33,0)))),""),""))</f>
        <v/>
      </c>
      <c r="H402" s="19">
        <f>IF($A402="","",IFERROR(IF(N(INDEX('Cars'!$H$4:$H$103,MATCH($A402,'Cars'!$A$4:$A$103,0)))&gt;0,INDEX('Cars'!$H$4:$H$103,MATCH($A402,'Cars'!$A$4:$A$103,0)),""),""))</f>
        <v/>
      </c>
      <c r="I402" s="19">
        <f>IF(OR($F402="",$H402=""),"",$F402-$H402)</f>
        <v/>
      </c>
      <c r="J402" s="21">
        <f>IF($G402="","",$G402-TODAY())</f>
        <v/>
      </c>
      <c r="K402" s="21">
        <f>IF($I402="","",IFERROR(IF(N(INDEX('Cars'!$J$4:$J$103,MATCH($A402,'Cars'!$A$4:$A$103,0)))&gt;0,ROUND($I402/INDEX('Cars'!$J$4:$J$103,MATCH($A402,'Cars'!$A$4:$A$103,0))*30,0),""),""))</f>
        <v/>
      </c>
      <c r="L402" s="21">
        <f>IF(AND($J402="",$K402=""),"",MIN(IF($J402="",99999,$J402),IF($K402="",99999,$K402)))</f>
        <v/>
      </c>
      <c r="M402" s="16">
        <f>IF(AND($I402="",$J402=""),"",IF(OR(AND($I402&lt;&gt;"",N($I402)&lt;0),AND($J402&lt;&gt;"",N($J402)&lt;0)),"Overdue",IF(OR(AND($I402&lt;&gt;"",N($I402)&lt;=IFERROR(INDEX('Intervals'!$E$4:$E$33,MATCH($B402,'Intervals'!$A$4:$A$33,0)),500)),AND($J402&lt;&gt;"",N($J402)&lt;=IFERROR(INDEX('Intervals'!$F$4:$F$33,MATCH($B402,'Intervals'!$A$4:$A$33,0)),14))),"Due soon","OK")))</f>
        <v/>
      </c>
      <c r="N402" s="15" t="n"/>
      <c r="O402" s="22">
        <f>IF(OR($M402="",$M402="OK"),"",$L402+ROW()/100000)</f>
        <v/>
      </c>
    </row>
    <row r="403">
      <c r="A403" s="15" t="n"/>
      <c r="B403" s="15" t="n"/>
      <c r="C403" s="16">
        <f>IF($B403="","",IFERROR(INDEX('Intervals'!$B$4:$B$33,MATCH($B403,'Intervals'!$A$4:$A$33,0)),""))</f>
        <v/>
      </c>
      <c r="D403" s="17" t="n"/>
      <c r="E403" s="18" t="n"/>
      <c r="F403" s="19">
        <f>IF(OR($B403="",$E403=""),"",IFERROR(IF(AND(INDEX('Intervals'!$G$4:$G$33,MATCH($B403,'Intervals'!$A$4:$A$33,0))&lt;&gt;"No",N(INDEX('Intervals'!$C$4:$C$33,MATCH($B403,'Intervals'!$A$4:$A$33,0)))&gt;0),$E403+N(INDEX('Intervals'!$C$4:$C$33,MATCH($B403,'Intervals'!$A$4:$A$33,0))),""),""))</f>
        <v/>
      </c>
      <c r="G403" s="20">
        <f>IF(OR($B403="",$D403=""),"",IFERROR(IF(AND(INDEX('Intervals'!$G$4:$G$33,MATCH($B403,'Intervals'!$A$4:$A$33,0))&lt;&gt;"No",N(INDEX('Intervals'!$D$4:$D$33,MATCH($B403,'Intervals'!$A$4:$A$33,0)))&gt;0),EDATE($D403,N(INDEX('Intervals'!$D$4:$D$33,MATCH($B403,'Intervals'!$A$4:$A$33,0)))),""),""))</f>
        <v/>
      </c>
      <c r="H403" s="19">
        <f>IF($A403="","",IFERROR(IF(N(INDEX('Cars'!$H$4:$H$103,MATCH($A403,'Cars'!$A$4:$A$103,0)))&gt;0,INDEX('Cars'!$H$4:$H$103,MATCH($A403,'Cars'!$A$4:$A$103,0)),""),""))</f>
        <v/>
      </c>
      <c r="I403" s="19">
        <f>IF(OR($F403="",$H403=""),"",$F403-$H403)</f>
        <v/>
      </c>
      <c r="J403" s="21">
        <f>IF($G403="","",$G403-TODAY())</f>
        <v/>
      </c>
      <c r="K403" s="21">
        <f>IF($I403="","",IFERROR(IF(N(INDEX('Cars'!$J$4:$J$103,MATCH($A403,'Cars'!$A$4:$A$103,0)))&gt;0,ROUND($I403/INDEX('Cars'!$J$4:$J$103,MATCH($A403,'Cars'!$A$4:$A$103,0))*30,0),""),""))</f>
        <v/>
      </c>
      <c r="L403" s="21">
        <f>IF(AND($J403="",$K403=""),"",MIN(IF($J403="",99999,$J403),IF($K403="",99999,$K403)))</f>
        <v/>
      </c>
      <c r="M403" s="16">
        <f>IF(AND($I403="",$J403=""),"",IF(OR(AND($I403&lt;&gt;"",N($I403)&lt;0),AND($J403&lt;&gt;"",N($J403)&lt;0)),"Overdue",IF(OR(AND($I403&lt;&gt;"",N($I403)&lt;=IFERROR(INDEX('Intervals'!$E$4:$E$33,MATCH($B403,'Intervals'!$A$4:$A$33,0)),500)),AND($J403&lt;&gt;"",N($J403)&lt;=IFERROR(INDEX('Intervals'!$F$4:$F$33,MATCH($B403,'Intervals'!$A$4:$A$33,0)),14))),"Due soon","OK")))</f>
        <v/>
      </c>
      <c r="N403" s="15" t="n"/>
      <c r="O403" s="22">
        <f>IF(OR($M403="",$M403="OK"),"",$L403+ROW()/100000)</f>
        <v/>
      </c>
    </row>
    <row r="404">
      <c r="A404" s="15" t="n"/>
      <c r="B404" s="15" t="n"/>
      <c r="C404" s="16">
        <f>IF($B404="","",IFERROR(INDEX('Intervals'!$B$4:$B$33,MATCH($B404,'Intervals'!$A$4:$A$33,0)),""))</f>
        <v/>
      </c>
      <c r="D404" s="17" t="n"/>
      <c r="E404" s="18" t="n"/>
      <c r="F404" s="19">
        <f>IF(OR($B404="",$E404=""),"",IFERROR(IF(AND(INDEX('Intervals'!$G$4:$G$33,MATCH($B404,'Intervals'!$A$4:$A$33,0))&lt;&gt;"No",N(INDEX('Intervals'!$C$4:$C$33,MATCH($B404,'Intervals'!$A$4:$A$33,0)))&gt;0),$E404+N(INDEX('Intervals'!$C$4:$C$33,MATCH($B404,'Intervals'!$A$4:$A$33,0))),""),""))</f>
        <v/>
      </c>
      <c r="G404" s="20">
        <f>IF(OR($B404="",$D404=""),"",IFERROR(IF(AND(INDEX('Intervals'!$G$4:$G$33,MATCH($B404,'Intervals'!$A$4:$A$33,0))&lt;&gt;"No",N(INDEX('Intervals'!$D$4:$D$33,MATCH($B404,'Intervals'!$A$4:$A$33,0)))&gt;0),EDATE($D404,N(INDEX('Intervals'!$D$4:$D$33,MATCH($B404,'Intervals'!$A$4:$A$33,0)))),""),""))</f>
        <v/>
      </c>
      <c r="H404" s="19">
        <f>IF($A404="","",IFERROR(IF(N(INDEX('Cars'!$H$4:$H$103,MATCH($A404,'Cars'!$A$4:$A$103,0)))&gt;0,INDEX('Cars'!$H$4:$H$103,MATCH($A404,'Cars'!$A$4:$A$103,0)),""),""))</f>
        <v/>
      </c>
      <c r="I404" s="19">
        <f>IF(OR($F404="",$H404=""),"",$F404-$H404)</f>
        <v/>
      </c>
      <c r="J404" s="21">
        <f>IF($G404="","",$G404-TODAY())</f>
        <v/>
      </c>
      <c r="K404" s="21">
        <f>IF($I404="","",IFERROR(IF(N(INDEX('Cars'!$J$4:$J$103,MATCH($A404,'Cars'!$A$4:$A$103,0)))&gt;0,ROUND($I404/INDEX('Cars'!$J$4:$J$103,MATCH($A404,'Cars'!$A$4:$A$103,0))*30,0),""),""))</f>
        <v/>
      </c>
      <c r="L404" s="21">
        <f>IF(AND($J404="",$K404=""),"",MIN(IF($J404="",99999,$J404),IF($K404="",99999,$K404)))</f>
        <v/>
      </c>
      <c r="M404" s="16">
        <f>IF(AND($I404="",$J404=""),"",IF(OR(AND($I404&lt;&gt;"",N($I404)&lt;0),AND($J404&lt;&gt;"",N($J404)&lt;0)),"Overdue",IF(OR(AND($I404&lt;&gt;"",N($I404)&lt;=IFERROR(INDEX('Intervals'!$E$4:$E$33,MATCH($B404,'Intervals'!$A$4:$A$33,0)),500)),AND($J404&lt;&gt;"",N($J404)&lt;=IFERROR(INDEX('Intervals'!$F$4:$F$33,MATCH($B404,'Intervals'!$A$4:$A$33,0)),14))),"Due soon","OK")))</f>
        <v/>
      </c>
      <c r="N404" s="15" t="n"/>
      <c r="O404" s="22">
        <f>IF(OR($M404="",$M404="OK"),"",$L404+ROW()/100000)</f>
        <v/>
      </c>
    </row>
    <row r="405">
      <c r="A405" s="15" t="n"/>
      <c r="B405" s="15" t="n"/>
      <c r="C405" s="16">
        <f>IF($B405="","",IFERROR(INDEX('Intervals'!$B$4:$B$33,MATCH($B405,'Intervals'!$A$4:$A$33,0)),""))</f>
        <v/>
      </c>
      <c r="D405" s="17" t="n"/>
      <c r="E405" s="18" t="n"/>
      <c r="F405" s="19">
        <f>IF(OR($B405="",$E405=""),"",IFERROR(IF(AND(INDEX('Intervals'!$G$4:$G$33,MATCH($B405,'Intervals'!$A$4:$A$33,0))&lt;&gt;"No",N(INDEX('Intervals'!$C$4:$C$33,MATCH($B405,'Intervals'!$A$4:$A$33,0)))&gt;0),$E405+N(INDEX('Intervals'!$C$4:$C$33,MATCH($B405,'Intervals'!$A$4:$A$33,0))),""),""))</f>
        <v/>
      </c>
      <c r="G405" s="20">
        <f>IF(OR($B405="",$D405=""),"",IFERROR(IF(AND(INDEX('Intervals'!$G$4:$G$33,MATCH($B405,'Intervals'!$A$4:$A$33,0))&lt;&gt;"No",N(INDEX('Intervals'!$D$4:$D$33,MATCH($B405,'Intervals'!$A$4:$A$33,0)))&gt;0),EDATE($D405,N(INDEX('Intervals'!$D$4:$D$33,MATCH($B405,'Intervals'!$A$4:$A$33,0)))),""),""))</f>
        <v/>
      </c>
      <c r="H405" s="19">
        <f>IF($A405="","",IFERROR(IF(N(INDEX('Cars'!$H$4:$H$103,MATCH($A405,'Cars'!$A$4:$A$103,0)))&gt;0,INDEX('Cars'!$H$4:$H$103,MATCH($A405,'Cars'!$A$4:$A$103,0)),""),""))</f>
        <v/>
      </c>
      <c r="I405" s="19">
        <f>IF(OR($F405="",$H405=""),"",$F405-$H405)</f>
        <v/>
      </c>
      <c r="J405" s="21">
        <f>IF($G405="","",$G405-TODAY())</f>
        <v/>
      </c>
      <c r="K405" s="21">
        <f>IF($I405="","",IFERROR(IF(N(INDEX('Cars'!$J$4:$J$103,MATCH($A405,'Cars'!$A$4:$A$103,0)))&gt;0,ROUND($I405/INDEX('Cars'!$J$4:$J$103,MATCH($A405,'Cars'!$A$4:$A$103,0))*30,0),""),""))</f>
        <v/>
      </c>
      <c r="L405" s="21">
        <f>IF(AND($J405="",$K405=""),"",MIN(IF($J405="",99999,$J405),IF($K405="",99999,$K405)))</f>
        <v/>
      </c>
      <c r="M405" s="16">
        <f>IF(AND($I405="",$J405=""),"",IF(OR(AND($I405&lt;&gt;"",N($I405)&lt;0),AND($J405&lt;&gt;"",N($J405)&lt;0)),"Overdue",IF(OR(AND($I405&lt;&gt;"",N($I405)&lt;=IFERROR(INDEX('Intervals'!$E$4:$E$33,MATCH($B405,'Intervals'!$A$4:$A$33,0)),500)),AND($J405&lt;&gt;"",N($J405)&lt;=IFERROR(INDEX('Intervals'!$F$4:$F$33,MATCH($B405,'Intervals'!$A$4:$A$33,0)),14))),"Due soon","OK")))</f>
        <v/>
      </c>
      <c r="N405" s="15" t="n"/>
      <c r="O405" s="22">
        <f>IF(OR($M405="",$M405="OK"),"",$L405+ROW()/100000)</f>
        <v/>
      </c>
    </row>
    <row r="406">
      <c r="A406" s="15" t="n"/>
      <c r="B406" s="15" t="n"/>
      <c r="C406" s="16">
        <f>IF($B406="","",IFERROR(INDEX('Intervals'!$B$4:$B$33,MATCH($B406,'Intervals'!$A$4:$A$33,0)),""))</f>
        <v/>
      </c>
      <c r="D406" s="17" t="n"/>
      <c r="E406" s="18" t="n"/>
      <c r="F406" s="19">
        <f>IF(OR($B406="",$E406=""),"",IFERROR(IF(AND(INDEX('Intervals'!$G$4:$G$33,MATCH($B406,'Intervals'!$A$4:$A$33,0))&lt;&gt;"No",N(INDEX('Intervals'!$C$4:$C$33,MATCH($B406,'Intervals'!$A$4:$A$33,0)))&gt;0),$E406+N(INDEX('Intervals'!$C$4:$C$33,MATCH($B406,'Intervals'!$A$4:$A$33,0))),""),""))</f>
        <v/>
      </c>
      <c r="G406" s="20">
        <f>IF(OR($B406="",$D406=""),"",IFERROR(IF(AND(INDEX('Intervals'!$G$4:$G$33,MATCH($B406,'Intervals'!$A$4:$A$33,0))&lt;&gt;"No",N(INDEX('Intervals'!$D$4:$D$33,MATCH($B406,'Intervals'!$A$4:$A$33,0)))&gt;0),EDATE($D406,N(INDEX('Intervals'!$D$4:$D$33,MATCH($B406,'Intervals'!$A$4:$A$33,0)))),""),""))</f>
        <v/>
      </c>
      <c r="H406" s="19">
        <f>IF($A406="","",IFERROR(IF(N(INDEX('Cars'!$H$4:$H$103,MATCH($A406,'Cars'!$A$4:$A$103,0)))&gt;0,INDEX('Cars'!$H$4:$H$103,MATCH($A406,'Cars'!$A$4:$A$103,0)),""),""))</f>
        <v/>
      </c>
      <c r="I406" s="19">
        <f>IF(OR($F406="",$H406=""),"",$F406-$H406)</f>
        <v/>
      </c>
      <c r="J406" s="21">
        <f>IF($G406="","",$G406-TODAY())</f>
        <v/>
      </c>
      <c r="K406" s="21">
        <f>IF($I406="","",IFERROR(IF(N(INDEX('Cars'!$J$4:$J$103,MATCH($A406,'Cars'!$A$4:$A$103,0)))&gt;0,ROUND($I406/INDEX('Cars'!$J$4:$J$103,MATCH($A406,'Cars'!$A$4:$A$103,0))*30,0),""),""))</f>
        <v/>
      </c>
      <c r="L406" s="21">
        <f>IF(AND($J406="",$K406=""),"",MIN(IF($J406="",99999,$J406),IF($K406="",99999,$K406)))</f>
        <v/>
      </c>
      <c r="M406" s="16">
        <f>IF(AND($I406="",$J406=""),"",IF(OR(AND($I406&lt;&gt;"",N($I406)&lt;0),AND($J406&lt;&gt;"",N($J406)&lt;0)),"Overdue",IF(OR(AND($I406&lt;&gt;"",N($I406)&lt;=IFERROR(INDEX('Intervals'!$E$4:$E$33,MATCH($B406,'Intervals'!$A$4:$A$33,0)),500)),AND($J406&lt;&gt;"",N($J406)&lt;=IFERROR(INDEX('Intervals'!$F$4:$F$33,MATCH($B406,'Intervals'!$A$4:$A$33,0)),14))),"Due soon","OK")))</f>
        <v/>
      </c>
      <c r="N406" s="15" t="n"/>
      <c r="O406" s="22">
        <f>IF(OR($M406="",$M406="OK"),"",$L406+ROW()/100000)</f>
        <v/>
      </c>
    </row>
    <row r="407">
      <c r="A407" s="15" t="n"/>
      <c r="B407" s="15" t="n"/>
      <c r="C407" s="16">
        <f>IF($B407="","",IFERROR(INDEX('Intervals'!$B$4:$B$33,MATCH($B407,'Intervals'!$A$4:$A$33,0)),""))</f>
        <v/>
      </c>
      <c r="D407" s="17" t="n"/>
      <c r="E407" s="18" t="n"/>
      <c r="F407" s="19">
        <f>IF(OR($B407="",$E407=""),"",IFERROR(IF(AND(INDEX('Intervals'!$G$4:$G$33,MATCH($B407,'Intervals'!$A$4:$A$33,0))&lt;&gt;"No",N(INDEX('Intervals'!$C$4:$C$33,MATCH($B407,'Intervals'!$A$4:$A$33,0)))&gt;0),$E407+N(INDEX('Intervals'!$C$4:$C$33,MATCH($B407,'Intervals'!$A$4:$A$33,0))),""),""))</f>
        <v/>
      </c>
      <c r="G407" s="20">
        <f>IF(OR($B407="",$D407=""),"",IFERROR(IF(AND(INDEX('Intervals'!$G$4:$G$33,MATCH($B407,'Intervals'!$A$4:$A$33,0))&lt;&gt;"No",N(INDEX('Intervals'!$D$4:$D$33,MATCH($B407,'Intervals'!$A$4:$A$33,0)))&gt;0),EDATE($D407,N(INDEX('Intervals'!$D$4:$D$33,MATCH($B407,'Intervals'!$A$4:$A$33,0)))),""),""))</f>
        <v/>
      </c>
      <c r="H407" s="19">
        <f>IF($A407="","",IFERROR(IF(N(INDEX('Cars'!$H$4:$H$103,MATCH($A407,'Cars'!$A$4:$A$103,0)))&gt;0,INDEX('Cars'!$H$4:$H$103,MATCH($A407,'Cars'!$A$4:$A$103,0)),""),""))</f>
        <v/>
      </c>
      <c r="I407" s="19">
        <f>IF(OR($F407="",$H407=""),"",$F407-$H407)</f>
        <v/>
      </c>
      <c r="J407" s="21">
        <f>IF($G407="","",$G407-TODAY())</f>
        <v/>
      </c>
      <c r="K407" s="21">
        <f>IF($I407="","",IFERROR(IF(N(INDEX('Cars'!$J$4:$J$103,MATCH($A407,'Cars'!$A$4:$A$103,0)))&gt;0,ROUND($I407/INDEX('Cars'!$J$4:$J$103,MATCH($A407,'Cars'!$A$4:$A$103,0))*30,0),""),""))</f>
        <v/>
      </c>
      <c r="L407" s="21">
        <f>IF(AND($J407="",$K407=""),"",MIN(IF($J407="",99999,$J407),IF($K407="",99999,$K407)))</f>
        <v/>
      </c>
      <c r="M407" s="16">
        <f>IF(AND($I407="",$J407=""),"",IF(OR(AND($I407&lt;&gt;"",N($I407)&lt;0),AND($J407&lt;&gt;"",N($J407)&lt;0)),"Overdue",IF(OR(AND($I407&lt;&gt;"",N($I407)&lt;=IFERROR(INDEX('Intervals'!$E$4:$E$33,MATCH($B407,'Intervals'!$A$4:$A$33,0)),500)),AND($J407&lt;&gt;"",N($J407)&lt;=IFERROR(INDEX('Intervals'!$F$4:$F$33,MATCH($B407,'Intervals'!$A$4:$A$33,0)),14))),"Due soon","OK")))</f>
        <v/>
      </c>
      <c r="N407" s="15" t="n"/>
      <c r="O407" s="22">
        <f>IF(OR($M407="",$M407="OK"),"",$L407+ROW()/100000)</f>
        <v/>
      </c>
    </row>
    <row r="408">
      <c r="A408" s="15" t="n"/>
      <c r="B408" s="15" t="n"/>
      <c r="C408" s="16">
        <f>IF($B408="","",IFERROR(INDEX('Intervals'!$B$4:$B$33,MATCH($B408,'Intervals'!$A$4:$A$33,0)),""))</f>
        <v/>
      </c>
      <c r="D408" s="17" t="n"/>
      <c r="E408" s="18" t="n"/>
      <c r="F408" s="19">
        <f>IF(OR($B408="",$E408=""),"",IFERROR(IF(AND(INDEX('Intervals'!$G$4:$G$33,MATCH($B408,'Intervals'!$A$4:$A$33,0))&lt;&gt;"No",N(INDEX('Intervals'!$C$4:$C$33,MATCH($B408,'Intervals'!$A$4:$A$33,0)))&gt;0),$E408+N(INDEX('Intervals'!$C$4:$C$33,MATCH($B408,'Intervals'!$A$4:$A$33,0))),""),""))</f>
        <v/>
      </c>
      <c r="G408" s="20">
        <f>IF(OR($B408="",$D408=""),"",IFERROR(IF(AND(INDEX('Intervals'!$G$4:$G$33,MATCH($B408,'Intervals'!$A$4:$A$33,0))&lt;&gt;"No",N(INDEX('Intervals'!$D$4:$D$33,MATCH($B408,'Intervals'!$A$4:$A$33,0)))&gt;0),EDATE($D408,N(INDEX('Intervals'!$D$4:$D$33,MATCH($B408,'Intervals'!$A$4:$A$33,0)))),""),""))</f>
        <v/>
      </c>
      <c r="H408" s="19">
        <f>IF($A408="","",IFERROR(IF(N(INDEX('Cars'!$H$4:$H$103,MATCH($A408,'Cars'!$A$4:$A$103,0)))&gt;0,INDEX('Cars'!$H$4:$H$103,MATCH($A408,'Cars'!$A$4:$A$103,0)),""),""))</f>
        <v/>
      </c>
      <c r="I408" s="19">
        <f>IF(OR($F408="",$H408=""),"",$F408-$H408)</f>
        <v/>
      </c>
      <c r="J408" s="21">
        <f>IF($G408="","",$G408-TODAY())</f>
        <v/>
      </c>
      <c r="K408" s="21">
        <f>IF($I408="","",IFERROR(IF(N(INDEX('Cars'!$J$4:$J$103,MATCH($A408,'Cars'!$A$4:$A$103,0)))&gt;0,ROUND($I408/INDEX('Cars'!$J$4:$J$103,MATCH($A408,'Cars'!$A$4:$A$103,0))*30,0),""),""))</f>
        <v/>
      </c>
      <c r="L408" s="21">
        <f>IF(AND($J408="",$K408=""),"",MIN(IF($J408="",99999,$J408),IF($K408="",99999,$K408)))</f>
        <v/>
      </c>
      <c r="M408" s="16">
        <f>IF(AND($I408="",$J408=""),"",IF(OR(AND($I408&lt;&gt;"",N($I408)&lt;0),AND($J408&lt;&gt;"",N($J408)&lt;0)),"Overdue",IF(OR(AND($I408&lt;&gt;"",N($I408)&lt;=IFERROR(INDEX('Intervals'!$E$4:$E$33,MATCH($B408,'Intervals'!$A$4:$A$33,0)),500)),AND($J408&lt;&gt;"",N($J408)&lt;=IFERROR(INDEX('Intervals'!$F$4:$F$33,MATCH($B408,'Intervals'!$A$4:$A$33,0)),14))),"Due soon","OK")))</f>
        <v/>
      </c>
      <c r="N408" s="15" t="n"/>
      <c r="O408" s="22">
        <f>IF(OR($M408="",$M408="OK"),"",$L408+ROW()/100000)</f>
        <v/>
      </c>
    </row>
    <row r="409">
      <c r="A409" s="15" t="n"/>
      <c r="B409" s="15" t="n"/>
      <c r="C409" s="16">
        <f>IF($B409="","",IFERROR(INDEX('Intervals'!$B$4:$B$33,MATCH($B409,'Intervals'!$A$4:$A$33,0)),""))</f>
        <v/>
      </c>
      <c r="D409" s="17" t="n"/>
      <c r="E409" s="18" t="n"/>
      <c r="F409" s="19">
        <f>IF(OR($B409="",$E409=""),"",IFERROR(IF(AND(INDEX('Intervals'!$G$4:$G$33,MATCH($B409,'Intervals'!$A$4:$A$33,0))&lt;&gt;"No",N(INDEX('Intervals'!$C$4:$C$33,MATCH($B409,'Intervals'!$A$4:$A$33,0)))&gt;0),$E409+N(INDEX('Intervals'!$C$4:$C$33,MATCH($B409,'Intervals'!$A$4:$A$33,0))),""),""))</f>
        <v/>
      </c>
      <c r="G409" s="20">
        <f>IF(OR($B409="",$D409=""),"",IFERROR(IF(AND(INDEX('Intervals'!$G$4:$G$33,MATCH($B409,'Intervals'!$A$4:$A$33,0))&lt;&gt;"No",N(INDEX('Intervals'!$D$4:$D$33,MATCH($B409,'Intervals'!$A$4:$A$33,0)))&gt;0),EDATE($D409,N(INDEX('Intervals'!$D$4:$D$33,MATCH($B409,'Intervals'!$A$4:$A$33,0)))),""),""))</f>
        <v/>
      </c>
      <c r="H409" s="19">
        <f>IF($A409="","",IFERROR(IF(N(INDEX('Cars'!$H$4:$H$103,MATCH($A409,'Cars'!$A$4:$A$103,0)))&gt;0,INDEX('Cars'!$H$4:$H$103,MATCH($A409,'Cars'!$A$4:$A$103,0)),""),""))</f>
        <v/>
      </c>
      <c r="I409" s="19">
        <f>IF(OR($F409="",$H409=""),"",$F409-$H409)</f>
        <v/>
      </c>
      <c r="J409" s="21">
        <f>IF($G409="","",$G409-TODAY())</f>
        <v/>
      </c>
      <c r="K409" s="21">
        <f>IF($I409="","",IFERROR(IF(N(INDEX('Cars'!$J$4:$J$103,MATCH($A409,'Cars'!$A$4:$A$103,0)))&gt;0,ROUND($I409/INDEX('Cars'!$J$4:$J$103,MATCH($A409,'Cars'!$A$4:$A$103,0))*30,0),""),""))</f>
        <v/>
      </c>
      <c r="L409" s="21">
        <f>IF(AND($J409="",$K409=""),"",MIN(IF($J409="",99999,$J409),IF($K409="",99999,$K409)))</f>
        <v/>
      </c>
      <c r="M409" s="16">
        <f>IF(AND($I409="",$J409=""),"",IF(OR(AND($I409&lt;&gt;"",N($I409)&lt;0),AND($J409&lt;&gt;"",N($J409)&lt;0)),"Overdue",IF(OR(AND($I409&lt;&gt;"",N($I409)&lt;=IFERROR(INDEX('Intervals'!$E$4:$E$33,MATCH($B409,'Intervals'!$A$4:$A$33,0)),500)),AND($J409&lt;&gt;"",N($J409)&lt;=IFERROR(INDEX('Intervals'!$F$4:$F$33,MATCH($B409,'Intervals'!$A$4:$A$33,0)),14))),"Due soon","OK")))</f>
        <v/>
      </c>
      <c r="N409" s="15" t="n"/>
      <c r="O409" s="22">
        <f>IF(OR($M409="",$M409="OK"),"",$L409+ROW()/100000)</f>
        <v/>
      </c>
    </row>
    <row r="410">
      <c r="A410" s="15" t="n"/>
      <c r="B410" s="15" t="n"/>
      <c r="C410" s="16">
        <f>IF($B410="","",IFERROR(INDEX('Intervals'!$B$4:$B$33,MATCH($B410,'Intervals'!$A$4:$A$33,0)),""))</f>
        <v/>
      </c>
      <c r="D410" s="17" t="n"/>
      <c r="E410" s="18" t="n"/>
      <c r="F410" s="19">
        <f>IF(OR($B410="",$E410=""),"",IFERROR(IF(AND(INDEX('Intervals'!$G$4:$G$33,MATCH($B410,'Intervals'!$A$4:$A$33,0))&lt;&gt;"No",N(INDEX('Intervals'!$C$4:$C$33,MATCH($B410,'Intervals'!$A$4:$A$33,0)))&gt;0),$E410+N(INDEX('Intervals'!$C$4:$C$33,MATCH($B410,'Intervals'!$A$4:$A$33,0))),""),""))</f>
        <v/>
      </c>
      <c r="G410" s="20">
        <f>IF(OR($B410="",$D410=""),"",IFERROR(IF(AND(INDEX('Intervals'!$G$4:$G$33,MATCH($B410,'Intervals'!$A$4:$A$33,0))&lt;&gt;"No",N(INDEX('Intervals'!$D$4:$D$33,MATCH($B410,'Intervals'!$A$4:$A$33,0)))&gt;0),EDATE($D410,N(INDEX('Intervals'!$D$4:$D$33,MATCH($B410,'Intervals'!$A$4:$A$33,0)))),""),""))</f>
        <v/>
      </c>
      <c r="H410" s="19">
        <f>IF($A410="","",IFERROR(IF(N(INDEX('Cars'!$H$4:$H$103,MATCH($A410,'Cars'!$A$4:$A$103,0)))&gt;0,INDEX('Cars'!$H$4:$H$103,MATCH($A410,'Cars'!$A$4:$A$103,0)),""),""))</f>
        <v/>
      </c>
      <c r="I410" s="19">
        <f>IF(OR($F410="",$H410=""),"",$F410-$H410)</f>
        <v/>
      </c>
      <c r="J410" s="21">
        <f>IF($G410="","",$G410-TODAY())</f>
        <v/>
      </c>
      <c r="K410" s="21">
        <f>IF($I410="","",IFERROR(IF(N(INDEX('Cars'!$J$4:$J$103,MATCH($A410,'Cars'!$A$4:$A$103,0)))&gt;0,ROUND($I410/INDEX('Cars'!$J$4:$J$103,MATCH($A410,'Cars'!$A$4:$A$103,0))*30,0),""),""))</f>
        <v/>
      </c>
      <c r="L410" s="21">
        <f>IF(AND($J410="",$K410=""),"",MIN(IF($J410="",99999,$J410),IF($K410="",99999,$K410)))</f>
        <v/>
      </c>
      <c r="M410" s="16">
        <f>IF(AND($I410="",$J410=""),"",IF(OR(AND($I410&lt;&gt;"",N($I410)&lt;0),AND($J410&lt;&gt;"",N($J410)&lt;0)),"Overdue",IF(OR(AND($I410&lt;&gt;"",N($I410)&lt;=IFERROR(INDEX('Intervals'!$E$4:$E$33,MATCH($B410,'Intervals'!$A$4:$A$33,0)),500)),AND($J410&lt;&gt;"",N($J410)&lt;=IFERROR(INDEX('Intervals'!$F$4:$F$33,MATCH($B410,'Intervals'!$A$4:$A$33,0)),14))),"Due soon","OK")))</f>
        <v/>
      </c>
      <c r="N410" s="15" t="n"/>
      <c r="O410" s="22">
        <f>IF(OR($M410="",$M410="OK"),"",$L410+ROW()/100000)</f>
        <v/>
      </c>
    </row>
    <row r="411">
      <c r="A411" s="15" t="n"/>
      <c r="B411" s="15" t="n"/>
      <c r="C411" s="16">
        <f>IF($B411="","",IFERROR(INDEX('Intervals'!$B$4:$B$33,MATCH($B411,'Intervals'!$A$4:$A$33,0)),""))</f>
        <v/>
      </c>
      <c r="D411" s="17" t="n"/>
      <c r="E411" s="18" t="n"/>
      <c r="F411" s="19">
        <f>IF(OR($B411="",$E411=""),"",IFERROR(IF(AND(INDEX('Intervals'!$G$4:$G$33,MATCH($B411,'Intervals'!$A$4:$A$33,0))&lt;&gt;"No",N(INDEX('Intervals'!$C$4:$C$33,MATCH($B411,'Intervals'!$A$4:$A$33,0)))&gt;0),$E411+N(INDEX('Intervals'!$C$4:$C$33,MATCH($B411,'Intervals'!$A$4:$A$33,0))),""),""))</f>
        <v/>
      </c>
      <c r="G411" s="20">
        <f>IF(OR($B411="",$D411=""),"",IFERROR(IF(AND(INDEX('Intervals'!$G$4:$G$33,MATCH($B411,'Intervals'!$A$4:$A$33,0))&lt;&gt;"No",N(INDEX('Intervals'!$D$4:$D$33,MATCH($B411,'Intervals'!$A$4:$A$33,0)))&gt;0),EDATE($D411,N(INDEX('Intervals'!$D$4:$D$33,MATCH($B411,'Intervals'!$A$4:$A$33,0)))),""),""))</f>
        <v/>
      </c>
      <c r="H411" s="19">
        <f>IF($A411="","",IFERROR(IF(N(INDEX('Cars'!$H$4:$H$103,MATCH($A411,'Cars'!$A$4:$A$103,0)))&gt;0,INDEX('Cars'!$H$4:$H$103,MATCH($A411,'Cars'!$A$4:$A$103,0)),""),""))</f>
        <v/>
      </c>
      <c r="I411" s="19">
        <f>IF(OR($F411="",$H411=""),"",$F411-$H411)</f>
        <v/>
      </c>
      <c r="J411" s="21">
        <f>IF($G411="","",$G411-TODAY())</f>
        <v/>
      </c>
      <c r="K411" s="21">
        <f>IF($I411="","",IFERROR(IF(N(INDEX('Cars'!$J$4:$J$103,MATCH($A411,'Cars'!$A$4:$A$103,0)))&gt;0,ROUND($I411/INDEX('Cars'!$J$4:$J$103,MATCH($A411,'Cars'!$A$4:$A$103,0))*30,0),""),""))</f>
        <v/>
      </c>
      <c r="L411" s="21">
        <f>IF(AND($J411="",$K411=""),"",MIN(IF($J411="",99999,$J411),IF($K411="",99999,$K411)))</f>
        <v/>
      </c>
      <c r="M411" s="16">
        <f>IF(AND($I411="",$J411=""),"",IF(OR(AND($I411&lt;&gt;"",N($I411)&lt;0),AND($J411&lt;&gt;"",N($J411)&lt;0)),"Overdue",IF(OR(AND($I411&lt;&gt;"",N($I411)&lt;=IFERROR(INDEX('Intervals'!$E$4:$E$33,MATCH($B411,'Intervals'!$A$4:$A$33,0)),500)),AND($J411&lt;&gt;"",N($J411)&lt;=IFERROR(INDEX('Intervals'!$F$4:$F$33,MATCH($B411,'Intervals'!$A$4:$A$33,0)),14))),"Due soon","OK")))</f>
        <v/>
      </c>
      <c r="N411" s="15" t="n"/>
      <c r="O411" s="22">
        <f>IF(OR($M411="",$M411="OK"),"",$L411+ROW()/100000)</f>
        <v/>
      </c>
    </row>
    <row r="412">
      <c r="A412" s="15" t="n"/>
      <c r="B412" s="15" t="n"/>
      <c r="C412" s="16">
        <f>IF($B412="","",IFERROR(INDEX('Intervals'!$B$4:$B$33,MATCH($B412,'Intervals'!$A$4:$A$33,0)),""))</f>
        <v/>
      </c>
      <c r="D412" s="17" t="n"/>
      <c r="E412" s="18" t="n"/>
      <c r="F412" s="19">
        <f>IF(OR($B412="",$E412=""),"",IFERROR(IF(AND(INDEX('Intervals'!$G$4:$G$33,MATCH($B412,'Intervals'!$A$4:$A$33,0))&lt;&gt;"No",N(INDEX('Intervals'!$C$4:$C$33,MATCH($B412,'Intervals'!$A$4:$A$33,0)))&gt;0),$E412+N(INDEX('Intervals'!$C$4:$C$33,MATCH($B412,'Intervals'!$A$4:$A$33,0))),""),""))</f>
        <v/>
      </c>
      <c r="G412" s="20">
        <f>IF(OR($B412="",$D412=""),"",IFERROR(IF(AND(INDEX('Intervals'!$G$4:$G$33,MATCH($B412,'Intervals'!$A$4:$A$33,0))&lt;&gt;"No",N(INDEX('Intervals'!$D$4:$D$33,MATCH($B412,'Intervals'!$A$4:$A$33,0)))&gt;0),EDATE($D412,N(INDEX('Intervals'!$D$4:$D$33,MATCH($B412,'Intervals'!$A$4:$A$33,0)))),""),""))</f>
        <v/>
      </c>
      <c r="H412" s="19">
        <f>IF($A412="","",IFERROR(IF(N(INDEX('Cars'!$H$4:$H$103,MATCH($A412,'Cars'!$A$4:$A$103,0)))&gt;0,INDEX('Cars'!$H$4:$H$103,MATCH($A412,'Cars'!$A$4:$A$103,0)),""),""))</f>
        <v/>
      </c>
      <c r="I412" s="19">
        <f>IF(OR($F412="",$H412=""),"",$F412-$H412)</f>
        <v/>
      </c>
      <c r="J412" s="21">
        <f>IF($G412="","",$G412-TODAY())</f>
        <v/>
      </c>
      <c r="K412" s="21">
        <f>IF($I412="","",IFERROR(IF(N(INDEX('Cars'!$J$4:$J$103,MATCH($A412,'Cars'!$A$4:$A$103,0)))&gt;0,ROUND($I412/INDEX('Cars'!$J$4:$J$103,MATCH($A412,'Cars'!$A$4:$A$103,0))*30,0),""),""))</f>
        <v/>
      </c>
      <c r="L412" s="21">
        <f>IF(AND($J412="",$K412=""),"",MIN(IF($J412="",99999,$J412),IF($K412="",99999,$K412)))</f>
        <v/>
      </c>
      <c r="M412" s="16">
        <f>IF(AND($I412="",$J412=""),"",IF(OR(AND($I412&lt;&gt;"",N($I412)&lt;0),AND($J412&lt;&gt;"",N($J412)&lt;0)),"Overdue",IF(OR(AND($I412&lt;&gt;"",N($I412)&lt;=IFERROR(INDEX('Intervals'!$E$4:$E$33,MATCH($B412,'Intervals'!$A$4:$A$33,0)),500)),AND($J412&lt;&gt;"",N($J412)&lt;=IFERROR(INDEX('Intervals'!$F$4:$F$33,MATCH($B412,'Intervals'!$A$4:$A$33,0)),14))),"Due soon","OK")))</f>
        <v/>
      </c>
      <c r="N412" s="15" t="n"/>
      <c r="O412" s="22">
        <f>IF(OR($M412="",$M412="OK"),"",$L412+ROW()/100000)</f>
        <v/>
      </c>
    </row>
    <row r="413">
      <c r="A413" s="15" t="n"/>
      <c r="B413" s="15" t="n"/>
      <c r="C413" s="16">
        <f>IF($B413="","",IFERROR(INDEX('Intervals'!$B$4:$B$33,MATCH($B413,'Intervals'!$A$4:$A$33,0)),""))</f>
        <v/>
      </c>
      <c r="D413" s="17" t="n"/>
      <c r="E413" s="18" t="n"/>
      <c r="F413" s="19">
        <f>IF(OR($B413="",$E413=""),"",IFERROR(IF(AND(INDEX('Intervals'!$G$4:$G$33,MATCH($B413,'Intervals'!$A$4:$A$33,0))&lt;&gt;"No",N(INDEX('Intervals'!$C$4:$C$33,MATCH($B413,'Intervals'!$A$4:$A$33,0)))&gt;0),$E413+N(INDEX('Intervals'!$C$4:$C$33,MATCH($B413,'Intervals'!$A$4:$A$33,0))),""),""))</f>
        <v/>
      </c>
      <c r="G413" s="20">
        <f>IF(OR($B413="",$D413=""),"",IFERROR(IF(AND(INDEX('Intervals'!$G$4:$G$33,MATCH($B413,'Intervals'!$A$4:$A$33,0))&lt;&gt;"No",N(INDEX('Intervals'!$D$4:$D$33,MATCH($B413,'Intervals'!$A$4:$A$33,0)))&gt;0),EDATE($D413,N(INDEX('Intervals'!$D$4:$D$33,MATCH($B413,'Intervals'!$A$4:$A$33,0)))),""),""))</f>
        <v/>
      </c>
      <c r="H413" s="19">
        <f>IF($A413="","",IFERROR(IF(N(INDEX('Cars'!$H$4:$H$103,MATCH($A413,'Cars'!$A$4:$A$103,0)))&gt;0,INDEX('Cars'!$H$4:$H$103,MATCH($A413,'Cars'!$A$4:$A$103,0)),""),""))</f>
        <v/>
      </c>
      <c r="I413" s="19">
        <f>IF(OR($F413="",$H413=""),"",$F413-$H413)</f>
        <v/>
      </c>
      <c r="J413" s="21">
        <f>IF($G413="","",$G413-TODAY())</f>
        <v/>
      </c>
      <c r="K413" s="21">
        <f>IF($I413="","",IFERROR(IF(N(INDEX('Cars'!$J$4:$J$103,MATCH($A413,'Cars'!$A$4:$A$103,0)))&gt;0,ROUND($I413/INDEX('Cars'!$J$4:$J$103,MATCH($A413,'Cars'!$A$4:$A$103,0))*30,0),""),""))</f>
        <v/>
      </c>
      <c r="L413" s="21">
        <f>IF(AND($J413="",$K413=""),"",MIN(IF($J413="",99999,$J413),IF($K413="",99999,$K413)))</f>
        <v/>
      </c>
      <c r="M413" s="16">
        <f>IF(AND($I413="",$J413=""),"",IF(OR(AND($I413&lt;&gt;"",N($I413)&lt;0),AND($J413&lt;&gt;"",N($J413)&lt;0)),"Overdue",IF(OR(AND($I413&lt;&gt;"",N($I413)&lt;=IFERROR(INDEX('Intervals'!$E$4:$E$33,MATCH($B413,'Intervals'!$A$4:$A$33,0)),500)),AND($J413&lt;&gt;"",N($J413)&lt;=IFERROR(INDEX('Intervals'!$F$4:$F$33,MATCH($B413,'Intervals'!$A$4:$A$33,0)),14))),"Due soon","OK")))</f>
        <v/>
      </c>
      <c r="N413" s="15" t="n"/>
      <c r="O413" s="22">
        <f>IF(OR($M413="",$M413="OK"),"",$L413+ROW()/100000)</f>
        <v/>
      </c>
    </row>
    <row r="414">
      <c r="A414" s="15" t="n"/>
      <c r="B414" s="15" t="n"/>
      <c r="C414" s="16">
        <f>IF($B414="","",IFERROR(INDEX('Intervals'!$B$4:$B$33,MATCH($B414,'Intervals'!$A$4:$A$33,0)),""))</f>
        <v/>
      </c>
      <c r="D414" s="17" t="n"/>
      <c r="E414" s="18" t="n"/>
      <c r="F414" s="19">
        <f>IF(OR($B414="",$E414=""),"",IFERROR(IF(AND(INDEX('Intervals'!$G$4:$G$33,MATCH($B414,'Intervals'!$A$4:$A$33,0))&lt;&gt;"No",N(INDEX('Intervals'!$C$4:$C$33,MATCH($B414,'Intervals'!$A$4:$A$33,0)))&gt;0),$E414+N(INDEX('Intervals'!$C$4:$C$33,MATCH($B414,'Intervals'!$A$4:$A$33,0))),""),""))</f>
        <v/>
      </c>
      <c r="G414" s="20">
        <f>IF(OR($B414="",$D414=""),"",IFERROR(IF(AND(INDEX('Intervals'!$G$4:$G$33,MATCH($B414,'Intervals'!$A$4:$A$33,0))&lt;&gt;"No",N(INDEX('Intervals'!$D$4:$D$33,MATCH($B414,'Intervals'!$A$4:$A$33,0)))&gt;0),EDATE($D414,N(INDEX('Intervals'!$D$4:$D$33,MATCH($B414,'Intervals'!$A$4:$A$33,0)))),""),""))</f>
        <v/>
      </c>
      <c r="H414" s="19">
        <f>IF($A414="","",IFERROR(IF(N(INDEX('Cars'!$H$4:$H$103,MATCH($A414,'Cars'!$A$4:$A$103,0)))&gt;0,INDEX('Cars'!$H$4:$H$103,MATCH($A414,'Cars'!$A$4:$A$103,0)),""),""))</f>
        <v/>
      </c>
      <c r="I414" s="19">
        <f>IF(OR($F414="",$H414=""),"",$F414-$H414)</f>
        <v/>
      </c>
      <c r="J414" s="21">
        <f>IF($G414="","",$G414-TODAY())</f>
        <v/>
      </c>
      <c r="K414" s="21">
        <f>IF($I414="","",IFERROR(IF(N(INDEX('Cars'!$J$4:$J$103,MATCH($A414,'Cars'!$A$4:$A$103,0)))&gt;0,ROUND($I414/INDEX('Cars'!$J$4:$J$103,MATCH($A414,'Cars'!$A$4:$A$103,0))*30,0),""),""))</f>
        <v/>
      </c>
      <c r="L414" s="21">
        <f>IF(AND($J414="",$K414=""),"",MIN(IF($J414="",99999,$J414),IF($K414="",99999,$K414)))</f>
        <v/>
      </c>
      <c r="M414" s="16">
        <f>IF(AND($I414="",$J414=""),"",IF(OR(AND($I414&lt;&gt;"",N($I414)&lt;0),AND($J414&lt;&gt;"",N($J414)&lt;0)),"Overdue",IF(OR(AND($I414&lt;&gt;"",N($I414)&lt;=IFERROR(INDEX('Intervals'!$E$4:$E$33,MATCH($B414,'Intervals'!$A$4:$A$33,0)),500)),AND($J414&lt;&gt;"",N($J414)&lt;=IFERROR(INDEX('Intervals'!$F$4:$F$33,MATCH($B414,'Intervals'!$A$4:$A$33,0)),14))),"Due soon","OK")))</f>
        <v/>
      </c>
      <c r="N414" s="15" t="n"/>
      <c r="O414" s="22">
        <f>IF(OR($M414="",$M414="OK"),"",$L414+ROW()/100000)</f>
        <v/>
      </c>
    </row>
    <row r="415">
      <c r="A415" s="15" t="n"/>
      <c r="B415" s="15" t="n"/>
      <c r="C415" s="16">
        <f>IF($B415="","",IFERROR(INDEX('Intervals'!$B$4:$B$33,MATCH($B415,'Intervals'!$A$4:$A$33,0)),""))</f>
        <v/>
      </c>
      <c r="D415" s="17" t="n"/>
      <c r="E415" s="18" t="n"/>
      <c r="F415" s="19">
        <f>IF(OR($B415="",$E415=""),"",IFERROR(IF(AND(INDEX('Intervals'!$G$4:$G$33,MATCH($B415,'Intervals'!$A$4:$A$33,0))&lt;&gt;"No",N(INDEX('Intervals'!$C$4:$C$33,MATCH($B415,'Intervals'!$A$4:$A$33,0)))&gt;0),$E415+N(INDEX('Intervals'!$C$4:$C$33,MATCH($B415,'Intervals'!$A$4:$A$33,0))),""),""))</f>
        <v/>
      </c>
      <c r="G415" s="20">
        <f>IF(OR($B415="",$D415=""),"",IFERROR(IF(AND(INDEX('Intervals'!$G$4:$G$33,MATCH($B415,'Intervals'!$A$4:$A$33,0))&lt;&gt;"No",N(INDEX('Intervals'!$D$4:$D$33,MATCH($B415,'Intervals'!$A$4:$A$33,0)))&gt;0),EDATE($D415,N(INDEX('Intervals'!$D$4:$D$33,MATCH($B415,'Intervals'!$A$4:$A$33,0)))),""),""))</f>
        <v/>
      </c>
      <c r="H415" s="19">
        <f>IF($A415="","",IFERROR(IF(N(INDEX('Cars'!$H$4:$H$103,MATCH($A415,'Cars'!$A$4:$A$103,0)))&gt;0,INDEX('Cars'!$H$4:$H$103,MATCH($A415,'Cars'!$A$4:$A$103,0)),""),""))</f>
        <v/>
      </c>
      <c r="I415" s="19">
        <f>IF(OR($F415="",$H415=""),"",$F415-$H415)</f>
        <v/>
      </c>
      <c r="J415" s="21">
        <f>IF($G415="","",$G415-TODAY())</f>
        <v/>
      </c>
      <c r="K415" s="21">
        <f>IF($I415="","",IFERROR(IF(N(INDEX('Cars'!$J$4:$J$103,MATCH($A415,'Cars'!$A$4:$A$103,0)))&gt;0,ROUND($I415/INDEX('Cars'!$J$4:$J$103,MATCH($A415,'Cars'!$A$4:$A$103,0))*30,0),""),""))</f>
        <v/>
      </c>
      <c r="L415" s="21">
        <f>IF(AND($J415="",$K415=""),"",MIN(IF($J415="",99999,$J415),IF($K415="",99999,$K415)))</f>
        <v/>
      </c>
      <c r="M415" s="16">
        <f>IF(AND($I415="",$J415=""),"",IF(OR(AND($I415&lt;&gt;"",N($I415)&lt;0),AND($J415&lt;&gt;"",N($J415)&lt;0)),"Overdue",IF(OR(AND($I415&lt;&gt;"",N($I415)&lt;=IFERROR(INDEX('Intervals'!$E$4:$E$33,MATCH($B415,'Intervals'!$A$4:$A$33,0)),500)),AND($J415&lt;&gt;"",N($J415)&lt;=IFERROR(INDEX('Intervals'!$F$4:$F$33,MATCH($B415,'Intervals'!$A$4:$A$33,0)),14))),"Due soon","OK")))</f>
        <v/>
      </c>
      <c r="N415" s="15" t="n"/>
      <c r="O415" s="22">
        <f>IF(OR($M415="",$M415="OK"),"",$L415+ROW()/100000)</f>
        <v/>
      </c>
    </row>
    <row r="416">
      <c r="A416" s="15" t="n"/>
      <c r="B416" s="15" t="n"/>
      <c r="C416" s="16">
        <f>IF($B416="","",IFERROR(INDEX('Intervals'!$B$4:$B$33,MATCH($B416,'Intervals'!$A$4:$A$33,0)),""))</f>
        <v/>
      </c>
      <c r="D416" s="17" t="n"/>
      <c r="E416" s="18" t="n"/>
      <c r="F416" s="19">
        <f>IF(OR($B416="",$E416=""),"",IFERROR(IF(AND(INDEX('Intervals'!$G$4:$G$33,MATCH($B416,'Intervals'!$A$4:$A$33,0))&lt;&gt;"No",N(INDEX('Intervals'!$C$4:$C$33,MATCH($B416,'Intervals'!$A$4:$A$33,0)))&gt;0),$E416+N(INDEX('Intervals'!$C$4:$C$33,MATCH($B416,'Intervals'!$A$4:$A$33,0))),""),""))</f>
        <v/>
      </c>
      <c r="G416" s="20">
        <f>IF(OR($B416="",$D416=""),"",IFERROR(IF(AND(INDEX('Intervals'!$G$4:$G$33,MATCH($B416,'Intervals'!$A$4:$A$33,0))&lt;&gt;"No",N(INDEX('Intervals'!$D$4:$D$33,MATCH($B416,'Intervals'!$A$4:$A$33,0)))&gt;0),EDATE($D416,N(INDEX('Intervals'!$D$4:$D$33,MATCH($B416,'Intervals'!$A$4:$A$33,0)))),""),""))</f>
        <v/>
      </c>
      <c r="H416" s="19">
        <f>IF($A416="","",IFERROR(IF(N(INDEX('Cars'!$H$4:$H$103,MATCH($A416,'Cars'!$A$4:$A$103,0)))&gt;0,INDEX('Cars'!$H$4:$H$103,MATCH($A416,'Cars'!$A$4:$A$103,0)),""),""))</f>
        <v/>
      </c>
      <c r="I416" s="19">
        <f>IF(OR($F416="",$H416=""),"",$F416-$H416)</f>
        <v/>
      </c>
      <c r="J416" s="21">
        <f>IF($G416="","",$G416-TODAY())</f>
        <v/>
      </c>
      <c r="K416" s="21">
        <f>IF($I416="","",IFERROR(IF(N(INDEX('Cars'!$J$4:$J$103,MATCH($A416,'Cars'!$A$4:$A$103,0)))&gt;0,ROUND($I416/INDEX('Cars'!$J$4:$J$103,MATCH($A416,'Cars'!$A$4:$A$103,0))*30,0),""),""))</f>
        <v/>
      </c>
      <c r="L416" s="21">
        <f>IF(AND($J416="",$K416=""),"",MIN(IF($J416="",99999,$J416),IF($K416="",99999,$K416)))</f>
        <v/>
      </c>
      <c r="M416" s="16">
        <f>IF(AND($I416="",$J416=""),"",IF(OR(AND($I416&lt;&gt;"",N($I416)&lt;0),AND($J416&lt;&gt;"",N($J416)&lt;0)),"Overdue",IF(OR(AND($I416&lt;&gt;"",N($I416)&lt;=IFERROR(INDEX('Intervals'!$E$4:$E$33,MATCH($B416,'Intervals'!$A$4:$A$33,0)),500)),AND($J416&lt;&gt;"",N($J416)&lt;=IFERROR(INDEX('Intervals'!$F$4:$F$33,MATCH($B416,'Intervals'!$A$4:$A$33,0)),14))),"Due soon","OK")))</f>
        <v/>
      </c>
      <c r="N416" s="15" t="n"/>
      <c r="O416" s="22">
        <f>IF(OR($M416="",$M416="OK"),"",$L416+ROW()/100000)</f>
        <v/>
      </c>
    </row>
    <row r="417">
      <c r="A417" s="15" t="n"/>
      <c r="B417" s="15" t="n"/>
      <c r="C417" s="16">
        <f>IF($B417="","",IFERROR(INDEX('Intervals'!$B$4:$B$33,MATCH($B417,'Intervals'!$A$4:$A$33,0)),""))</f>
        <v/>
      </c>
      <c r="D417" s="17" t="n"/>
      <c r="E417" s="18" t="n"/>
      <c r="F417" s="19">
        <f>IF(OR($B417="",$E417=""),"",IFERROR(IF(AND(INDEX('Intervals'!$G$4:$G$33,MATCH($B417,'Intervals'!$A$4:$A$33,0))&lt;&gt;"No",N(INDEX('Intervals'!$C$4:$C$33,MATCH($B417,'Intervals'!$A$4:$A$33,0)))&gt;0),$E417+N(INDEX('Intervals'!$C$4:$C$33,MATCH($B417,'Intervals'!$A$4:$A$33,0))),""),""))</f>
        <v/>
      </c>
      <c r="G417" s="20">
        <f>IF(OR($B417="",$D417=""),"",IFERROR(IF(AND(INDEX('Intervals'!$G$4:$G$33,MATCH($B417,'Intervals'!$A$4:$A$33,0))&lt;&gt;"No",N(INDEX('Intervals'!$D$4:$D$33,MATCH($B417,'Intervals'!$A$4:$A$33,0)))&gt;0),EDATE($D417,N(INDEX('Intervals'!$D$4:$D$33,MATCH($B417,'Intervals'!$A$4:$A$33,0)))),""),""))</f>
        <v/>
      </c>
      <c r="H417" s="19">
        <f>IF($A417="","",IFERROR(IF(N(INDEX('Cars'!$H$4:$H$103,MATCH($A417,'Cars'!$A$4:$A$103,0)))&gt;0,INDEX('Cars'!$H$4:$H$103,MATCH($A417,'Cars'!$A$4:$A$103,0)),""),""))</f>
        <v/>
      </c>
      <c r="I417" s="19">
        <f>IF(OR($F417="",$H417=""),"",$F417-$H417)</f>
        <v/>
      </c>
      <c r="J417" s="21">
        <f>IF($G417="","",$G417-TODAY())</f>
        <v/>
      </c>
      <c r="K417" s="21">
        <f>IF($I417="","",IFERROR(IF(N(INDEX('Cars'!$J$4:$J$103,MATCH($A417,'Cars'!$A$4:$A$103,0)))&gt;0,ROUND($I417/INDEX('Cars'!$J$4:$J$103,MATCH($A417,'Cars'!$A$4:$A$103,0))*30,0),""),""))</f>
        <v/>
      </c>
      <c r="L417" s="21">
        <f>IF(AND($J417="",$K417=""),"",MIN(IF($J417="",99999,$J417),IF($K417="",99999,$K417)))</f>
        <v/>
      </c>
      <c r="M417" s="16">
        <f>IF(AND($I417="",$J417=""),"",IF(OR(AND($I417&lt;&gt;"",N($I417)&lt;0),AND($J417&lt;&gt;"",N($J417)&lt;0)),"Overdue",IF(OR(AND($I417&lt;&gt;"",N($I417)&lt;=IFERROR(INDEX('Intervals'!$E$4:$E$33,MATCH($B417,'Intervals'!$A$4:$A$33,0)),500)),AND($J417&lt;&gt;"",N($J417)&lt;=IFERROR(INDEX('Intervals'!$F$4:$F$33,MATCH($B417,'Intervals'!$A$4:$A$33,0)),14))),"Due soon","OK")))</f>
        <v/>
      </c>
      <c r="N417" s="15" t="n"/>
      <c r="O417" s="22">
        <f>IF(OR($M417="",$M417="OK"),"",$L417+ROW()/100000)</f>
        <v/>
      </c>
    </row>
    <row r="418">
      <c r="A418" s="15" t="n"/>
      <c r="B418" s="15" t="n"/>
      <c r="C418" s="16">
        <f>IF($B418="","",IFERROR(INDEX('Intervals'!$B$4:$B$33,MATCH($B418,'Intervals'!$A$4:$A$33,0)),""))</f>
        <v/>
      </c>
      <c r="D418" s="17" t="n"/>
      <c r="E418" s="18" t="n"/>
      <c r="F418" s="19">
        <f>IF(OR($B418="",$E418=""),"",IFERROR(IF(AND(INDEX('Intervals'!$G$4:$G$33,MATCH($B418,'Intervals'!$A$4:$A$33,0))&lt;&gt;"No",N(INDEX('Intervals'!$C$4:$C$33,MATCH($B418,'Intervals'!$A$4:$A$33,0)))&gt;0),$E418+N(INDEX('Intervals'!$C$4:$C$33,MATCH($B418,'Intervals'!$A$4:$A$33,0))),""),""))</f>
        <v/>
      </c>
      <c r="G418" s="20">
        <f>IF(OR($B418="",$D418=""),"",IFERROR(IF(AND(INDEX('Intervals'!$G$4:$G$33,MATCH($B418,'Intervals'!$A$4:$A$33,0))&lt;&gt;"No",N(INDEX('Intervals'!$D$4:$D$33,MATCH($B418,'Intervals'!$A$4:$A$33,0)))&gt;0),EDATE($D418,N(INDEX('Intervals'!$D$4:$D$33,MATCH($B418,'Intervals'!$A$4:$A$33,0)))),""),""))</f>
        <v/>
      </c>
      <c r="H418" s="19">
        <f>IF($A418="","",IFERROR(IF(N(INDEX('Cars'!$H$4:$H$103,MATCH($A418,'Cars'!$A$4:$A$103,0)))&gt;0,INDEX('Cars'!$H$4:$H$103,MATCH($A418,'Cars'!$A$4:$A$103,0)),""),""))</f>
        <v/>
      </c>
      <c r="I418" s="19">
        <f>IF(OR($F418="",$H418=""),"",$F418-$H418)</f>
        <v/>
      </c>
      <c r="J418" s="21">
        <f>IF($G418="","",$G418-TODAY())</f>
        <v/>
      </c>
      <c r="K418" s="21">
        <f>IF($I418="","",IFERROR(IF(N(INDEX('Cars'!$J$4:$J$103,MATCH($A418,'Cars'!$A$4:$A$103,0)))&gt;0,ROUND($I418/INDEX('Cars'!$J$4:$J$103,MATCH($A418,'Cars'!$A$4:$A$103,0))*30,0),""),""))</f>
        <v/>
      </c>
      <c r="L418" s="21">
        <f>IF(AND($J418="",$K418=""),"",MIN(IF($J418="",99999,$J418),IF($K418="",99999,$K418)))</f>
        <v/>
      </c>
      <c r="M418" s="16">
        <f>IF(AND($I418="",$J418=""),"",IF(OR(AND($I418&lt;&gt;"",N($I418)&lt;0),AND($J418&lt;&gt;"",N($J418)&lt;0)),"Overdue",IF(OR(AND($I418&lt;&gt;"",N($I418)&lt;=IFERROR(INDEX('Intervals'!$E$4:$E$33,MATCH($B418,'Intervals'!$A$4:$A$33,0)),500)),AND($J418&lt;&gt;"",N($J418)&lt;=IFERROR(INDEX('Intervals'!$F$4:$F$33,MATCH($B418,'Intervals'!$A$4:$A$33,0)),14))),"Due soon","OK")))</f>
        <v/>
      </c>
      <c r="N418" s="15" t="n"/>
      <c r="O418" s="22">
        <f>IF(OR($M418="",$M418="OK"),"",$L418+ROW()/100000)</f>
        <v/>
      </c>
    </row>
    <row r="419">
      <c r="A419" s="15" t="n"/>
      <c r="B419" s="15" t="n"/>
      <c r="C419" s="16">
        <f>IF($B419="","",IFERROR(INDEX('Intervals'!$B$4:$B$33,MATCH($B419,'Intervals'!$A$4:$A$33,0)),""))</f>
        <v/>
      </c>
      <c r="D419" s="17" t="n"/>
      <c r="E419" s="18" t="n"/>
      <c r="F419" s="19">
        <f>IF(OR($B419="",$E419=""),"",IFERROR(IF(AND(INDEX('Intervals'!$G$4:$G$33,MATCH($B419,'Intervals'!$A$4:$A$33,0))&lt;&gt;"No",N(INDEX('Intervals'!$C$4:$C$33,MATCH($B419,'Intervals'!$A$4:$A$33,0)))&gt;0),$E419+N(INDEX('Intervals'!$C$4:$C$33,MATCH($B419,'Intervals'!$A$4:$A$33,0))),""),""))</f>
        <v/>
      </c>
      <c r="G419" s="20">
        <f>IF(OR($B419="",$D419=""),"",IFERROR(IF(AND(INDEX('Intervals'!$G$4:$G$33,MATCH($B419,'Intervals'!$A$4:$A$33,0))&lt;&gt;"No",N(INDEX('Intervals'!$D$4:$D$33,MATCH($B419,'Intervals'!$A$4:$A$33,0)))&gt;0),EDATE($D419,N(INDEX('Intervals'!$D$4:$D$33,MATCH($B419,'Intervals'!$A$4:$A$33,0)))),""),""))</f>
        <v/>
      </c>
      <c r="H419" s="19">
        <f>IF($A419="","",IFERROR(IF(N(INDEX('Cars'!$H$4:$H$103,MATCH($A419,'Cars'!$A$4:$A$103,0)))&gt;0,INDEX('Cars'!$H$4:$H$103,MATCH($A419,'Cars'!$A$4:$A$103,0)),""),""))</f>
        <v/>
      </c>
      <c r="I419" s="19">
        <f>IF(OR($F419="",$H419=""),"",$F419-$H419)</f>
        <v/>
      </c>
      <c r="J419" s="21">
        <f>IF($G419="","",$G419-TODAY())</f>
        <v/>
      </c>
      <c r="K419" s="21">
        <f>IF($I419="","",IFERROR(IF(N(INDEX('Cars'!$J$4:$J$103,MATCH($A419,'Cars'!$A$4:$A$103,0)))&gt;0,ROUND($I419/INDEX('Cars'!$J$4:$J$103,MATCH($A419,'Cars'!$A$4:$A$103,0))*30,0),""),""))</f>
        <v/>
      </c>
      <c r="L419" s="21">
        <f>IF(AND($J419="",$K419=""),"",MIN(IF($J419="",99999,$J419),IF($K419="",99999,$K419)))</f>
        <v/>
      </c>
      <c r="M419" s="16">
        <f>IF(AND($I419="",$J419=""),"",IF(OR(AND($I419&lt;&gt;"",N($I419)&lt;0),AND($J419&lt;&gt;"",N($J419)&lt;0)),"Overdue",IF(OR(AND($I419&lt;&gt;"",N($I419)&lt;=IFERROR(INDEX('Intervals'!$E$4:$E$33,MATCH($B419,'Intervals'!$A$4:$A$33,0)),500)),AND($J419&lt;&gt;"",N($J419)&lt;=IFERROR(INDEX('Intervals'!$F$4:$F$33,MATCH($B419,'Intervals'!$A$4:$A$33,0)),14))),"Due soon","OK")))</f>
        <v/>
      </c>
      <c r="N419" s="15" t="n"/>
      <c r="O419" s="22">
        <f>IF(OR($M419="",$M419="OK"),"",$L419+ROW()/100000)</f>
        <v/>
      </c>
    </row>
    <row r="420">
      <c r="A420" s="15" t="n"/>
      <c r="B420" s="15" t="n"/>
      <c r="C420" s="16">
        <f>IF($B420="","",IFERROR(INDEX('Intervals'!$B$4:$B$33,MATCH($B420,'Intervals'!$A$4:$A$33,0)),""))</f>
        <v/>
      </c>
      <c r="D420" s="17" t="n"/>
      <c r="E420" s="18" t="n"/>
      <c r="F420" s="19">
        <f>IF(OR($B420="",$E420=""),"",IFERROR(IF(AND(INDEX('Intervals'!$G$4:$G$33,MATCH($B420,'Intervals'!$A$4:$A$33,0))&lt;&gt;"No",N(INDEX('Intervals'!$C$4:$C$33,MATCH($B420,'Intervals'!$A$4:$A$33,0)))&gt;0),$E420+N(INDEX('Intervals'!$C$4:$C$33,MATCH($B420,'Intervals'!$A$4:$A$33,0))),""),""))</f>
        <v/>
      </c>
      <c r="G420" s="20">
        <f>IF(OR($B420="",$D420=""),"",IFERROR(IF(AND(INDEX('Intervals'!$G$4:$G$33,MATCH($B420,'Intervals'!$A$4:$A$33,0))&lt;&gt;"No",N(INDEX('Intervals'!$D$4:$D$33,MATCH($B420,'Intervals'!$A$4:$A$33,0)))&gt;0),EDATE($D420,N(INDEX('Intervals'!$D$4:$D$33,MATCH($B420,'Intervals'!$A$4:$A$33,0)))),""),""))</f>
        <v/>
      </c>
      <c r="H420" s="19">
        <f>IF($A420="","",IFERROR(IF(N(INDEX('Cars'!$H$4:$H$103,MATCH($A420,'Cars'!$A$4:$A$103,0)))&gt;0,INDEX('Cars'!$H$4:$H$103,MATCH($A420,'Cars'!$A$4:$A$103,0)),""),""))</f>
        <v/>
      </c>
      <c r="I420" s="19">
        <f>IF(OR($F420="",$H420=""),"",$F420-$H420)</f>
        <v/>
      </c>
      <c r="J420" s="21">
        <f>IF($G420="","",$G420-TODAY())</f>
        <v/>
      </c>
      <c r="K420" s="21">
        <f>IF($I420="","",IFERROR(IF(N(INDEX('Cars'!$J$4:$J$103,MATCH($A420,'Cars'!$A$4:$A$103,0)))&gt;0,ROUND($I420/INDEX('Cars'!$J$4:$J$103,MATCH($A420,'Cars'!$A$4:$A$103,0))*30,0),""),""))</f>
        <v/>
      </c>
      <c r="L420" s="21">
        <f>IF(AND($J420="",$K420=""),"",MIN(IF($J420="",99999,$J420),IF($K420="",99999,$K420)))</f>
        <v/>
      </c>
      <c r="M420" s="16">
        <f>IF(AND($I420="",$J420=""),"",IF(OR(AND($I420&lt;&gt;"",N($I420)&lt;0),AND($J420&lt;&gt;"",N($J420)&lt;0)),"Overdue",IF(OR(AND($I420&lt;&gt;"",N($I420)&lt;=IFERROR(INDEX('Intervals'!$E$4:$E$33,MATCH($B420,'Intervals'!$A$4:$A$33,0)),500)),AND($J420&lt;&gt;"",N($J420)&lt;=IFERROR(INDEX('Intervals'!$F$4:$F$33,MATCH($B420,'Intervals'!$A$4:$A$33,0)),14))),"Due soon","OK")))</f>
        <v/>
      </c>
      <c r="N420" s="15" t="n"/>
      <c r="O420" s="22">
        <f>IF(OR($M420="",$M420="OK"),"",$L420+ROW()/100000)</f>
        <v/>
      </c>
    </row>
    <row r="421">
      <c r="A421" s="15" t="n"/>
      <c r="B421" s="15" t="n"/>
      <c r="C421" s="16">
        <f>IF($B421="","",IFERROR(INDEX('Intervals'!$B$4:$B$33,MATCH($B421,'Intervals'!$A$4:$A$33,0)),""))</f>
        <v/>
      </c>
      <c r="D421" s="17" t="n"/>
      <c r="E421" s="18" t="n"/>
      <c r="F421" s="19">
        <f>IF(OR($B421="",$E421=""),"",IFERROR(IF(AND(INDEX('Intervals'!$G$4:$G$33,MATCH($B421,'Intervals'!$A$4:$A$33,0))&lt;&gt;"No",N(INDEX('Intervals'!$C$4:$C$33,MATCH($B421,'Intervals'!$A$4:$A$33,0)))&gt;0),$E421+N(INDEX('Intervals'!$C$4:$C$33,MATCH($B421,'Intervals'!$A$4:$A$33,0))),""),""))</f>
        <v/>
      </c>
      <c r="G421" s="20">
        <f>IF(OR($B421="",$D421=""),"",IFERROR(IF(AND(INDEX('Intervals'!$G$4:$G$33,MATCH($B421,'Intervals'!$A$4:$A$33,0))&lt;&gt;"No",N(INDEX('Intervals'!$D$4:$D$33,MATCH($B421,'Intervals'!$A$4:$A$33,0)))&gt;0),EDATE($D421,N(INDEX('Intervals'!$D$4:$D$33,MATCH($B421,'Intervals'!$A$4:$A$33,0)))),""),""))</f>
        <v/>
      </c>
      <c r="H421" s="19">
        <f>IF($A421="","",IFERROR(IF(N(INDEX('Cars'!$H$4:$H$103,MATCH($A421,'Cars'!$A$4:$A$103,0)))&gt;0,INDEX('Cars'!$H$4:$H$103,MATCH($A421,'Cars'!$A$4:$A$103,0)),""),""))</f>
        <v/>
      </c>
      <c r="I421" s="19">
        <f>IF(OR($F421="",$H421=""),"",$F421-$H421)</f>
        <v/>
      </c>
      <c r="J421" s="21">
        <f>IF($G421="","",$G421-TODAY())</f>
        <v/>
      </c>
      <c r="K421" s="21">
        <f>IF($I421="","",IFERROR(IF(N(INDEX('Cars'!$J$4:$J$103,MATCH($A421,'Cars'!$A$4:$A$103,0)))&gt;0,ROUND($I421/INDEX('Cars'!$J$4:$J$103,MATCH($A421,'Cars'!$A$4:$A$103,0))*30,0),""),""))</f>
        <v/>
      </c>
      <c r="L421" s="21">
        <f>IF(AND($J421="",$K421=""),"",MIN(IF($J421="",99999,$J421),IF($K421="",99999,$K421)))</f>
        <v/>
      </c>
      <c r="M421" s="16">
        <f>IF(AND($I421="",$J421=""),"",IF(OR(AND($I421&lt;&gt;"",N($I421)&lt;0),AND($J421&lt;&gt;"",N($J421)&lt;0)),"Overdue",IF(OR(AND($I421&lt;&gt;"",N($I421)&lt;=IFERROR(INDEX('Intervals'!$E$4:$E$33,MATCH($B421,'Intervals'!$A$4:$A$33,0)),500)),AND($J421&lt;&gt;"",N($J421)&lt;=IFERROR(INDEX('Intervals'!$F$4:$F$33,MATCH($B421,'Intervals'!$A$4:$A$33,0)),14))),"Due soon","OK")))</f>
        <v/>
      </c>
      <c r="N421" s="15" t="n"/>
      <c r="O421" s="22">
        <f>IF(OR($M421="",$M421="OK"),"",$L421+ROW()/100000)</f>
        <v/>
      </c>
    </row>
    <row r="422">
      <c r="A422" s="15" t="n"/>
      <c r="B422" s="15" t="n"/>
      <c r="C422" s="16">
        <f>IF($B422="","",IFERROR(INDEX('Intervals'!$B$4:$B$33,MATCH($B422,'Intervals'!$A$4:$A$33,0)),""))</f>
        <v/>
      </c>
      <c r="D422" s="17" t="n"/>
      <c r="E422" s="18" t="n"/>
      <c r="F422" s="19">
        <f>IF(OR($B422="",$E422=""),"",IFERROR(IF(AND(INDEX('Intervals'!$G$4:$G$33,MATCH($B422,'Intervals'!$A$4:$A$33,0))&lt;&gt;"No",N(INDEX('Intervals'!$C$4:$C$33,MATCH($B422,'Intervals'!$A$4:$A$33,0)))&gt;0),$E422+N(INDEX('Intervals'!$C$4:$C$33,MATCH($B422,'Intervals'!$A$4:$A$33,0))),""),""))</f>
        <v/>
      </c>
      <c r="G422" s="20">
        <f>IF(OR($B422="",$D422=""),"",IFERROR(IF(AND(INDEX('Intervals'!$G$4:$G$33,MATCH($B422,'Intervals'!$A$4:$A$33,0))&lt;&gt;"No",N(INDEX('Intervals'!$D$4:$D$33,MATCH($B422,'Intervals'!$A$4:$A$33,0)))&gt;0),EDATE($D422,N(INDEX('Intervals'!$D$4:$D$33,MATCH($B422,'Intervals'!$A$4:$A$33,0)))),""),""))</f>
        <v/>
      </c>
      <c r="H422" s="19">
        <f>IF($A422="","",IFERROR(IF(N(INDEX('Cars'!$H$4:$H$103,MATCH($A422,'Cars'!$A$4:$A$103,0)))&gt;0,INDEX('Cars'!$H$4:$H$103,MATCH($A422,'Cars'!$A$4:$A$103,0)),""),""))</f>
        <v/>
      </c>
      <c r="I422" s="19">
        <f>IF(OR($F422="",$H422=""),"",$F422-$H422)</f>
        <v/>
      </c>
      <c r="J422" s="21">
        <f>IF($G422="","",$G422-TODAY())</f>
        <v/>
      </c>
      <c r="K422" s="21">
        <f>IF($I422="","",IFERROR(IF(N(INDEX('Cars'!$J$4:$J$103,MATCH($A422,'Cars'!$A$4:$A$103,0)))&gt;0,ROUND($I422/INDEX('Cars'!$J$4:$J$103,MATCH($A422,'Cars'!$A$4:$A$103,0))*30,0),""),""))</f>
        <v/>
      </c>
      <c r="L422" s="21">
        <f>IF(AND($J422="",$K422=""),"",MIN(IF($J422="",99999,$J422),IF($K422="",99999,$K422)))</f>
        <v/>
      </c>
      <c r="M422" s="16">
        <f>IF(AND($I422="",$J422=""),"",IF(OR(AND($I422&lt;&gt;"",N($I422)&lt;0),AND($J422&lt;&gt;"",N($J422)&lt;0)),"Overdue",IF(OR(AND($I422&lt;&gt;"",N($I422)&lt;=IFERROR(INDEX('Intervals'!$E$4:$E$33,MATCH($B422,'Intervals'!$A$4:$A$33,0)),500)),AND($J422&lt;&gt;"",N($J422)&lt;=IFERROR(INDEX('Intervals'!$F$4:$F$33,MATCH($B422,'Intervals'!$A$4:$A$33,0)),14))),"Due soon","OK")))</f>
        <v/>
      </c>
      <c r="N422" s="15" t="n"/>
      <c r="O422" s="22">
        <f>IF(OR($M422="",$M422="OK"),"",$L422+ROW()/100000)</f>
        <v/>
      </c>
    </row>
    <row r="423">
      <c r="A423" s="15" t="n"/>
      <c r="B423" s="15" t="n"/>
      <c r="C423" s="16">
        <f>IF($B423="","",IFERROR(INDEX('Intervals'!$B$4:$B$33,MATCH($B423,'Intervals'!$A$4:$A$33,0)),""))</f>
        <v/>
      </c>
      <c r="D423" s="17" t="n"/>
      <c r="E423" s="18" t="n"/>
      <c r="F423" s="19">
        <f>IF(OR($B423="",$E423=""),"",IFERROR(IF(AND(INDEX('Intervals'!$G$4:$G$33,MATCH($B423,'Intervals'!$A$4:$A$33,0))&lt;&gt;"No",N(INDEX('Intervals'!$C$4:$C$33,MATCH($B423,'Intervals'!$A$4:$A$33,0)))&gt;0),$E423+N(INDEX('Intervals'!$C$4:$C$33,MATCH($B423,'Intervals'!$A$4:$A$33,0))),""),""))</f>
        <v/>
      </c>
      <c r="G423" s="20">
        <f>IF(OR($B423="",$D423=""),"",IFERROR(IF(AND(INDEX('Intervals'!$G$4:$G$33,MATCH($B423,'Intervals'!$A$4:$A$33,0))&lt;&gt;"No",N(INDEX('Intervals'!$D$4:$D$33,MATCH($B423,'Intervals'!$A$4:$A$33,0)))&gt;0),EDATE($D423,N(INDEX('Intervals'!$D$4:$D$33,MATCH($B423,'Intervals'!$A$4:$A$33,0)))),""),""))</f>
        <v/>
      </c>
      <c r="H423" s="19">
        <f>IF($A423="","",IFERROR(IF(N(INDEX('Cars'!$H$4:$H$103,MATCH($A423,'Cars'!$A$4:$A$103,0)))&gt;0,INDEX('Cars'!$H$4:$H$103,MATCH($A423,'Cars'!$A$4:$A$103,0)),""),""))</f>
        <v/>
      </c>
      <c r="I423" s="19">
        <f>IF(OR($F423="",$H423=""),"",$F423-$H423)</f>
        <v/>
      </c>
      <c r="J423" s="21">
        <f>IF($G423="","",$G423-TODAY())</f>
        <v/>
      </c>
      <c r="K423" s="21">
        <f>IF($I423="","",IFERROR(IF(N(INDEX('Cars'!$J$4:$J$103,MATCH($A423,'Cars'!$A$4:$A$103,0)))&gt;0,ROUND($I423/INDEX('Cars'!$J$4:$J$103,MATCH($A423,'Cars'!$A$4:$A$103,0))*30,0),""),""))</f>
        <v/>
      </c>
      <c r="L423" s="21">
        <f>IF(AND($J423="",$K423=""),"",MIN(IF($J423="",99999,$J423),IF($K423="",99999,$K423)))</f>
        <v/>
      </c>
      <c r="M423" s="16">
        <f>IF(AND($I423="",$J423=""),"",IF(OR(AND($I423&lt;&gt;"",N($I423)&lt;0),AND($J423&lt;&gt;"",N($J423)&lt;0)),"Overdue",IF(OR(AND($I423&lt;&gt;"",N($I423)&lt;=IFERROR(INDEX('Intervals'!$E$4:$E$33,MATCH($B423,'Intervals'!$A$4:$A$33,0)),500)),AND($J423&lt;&gt;"",N($J423)&lt;=IFERROR(INDEX('Intervals'!$F$4:$F$33,MATCH($B423,'Intervals'!$A$4:$A$33,0)),14))),"Due soon","OK")))</f>
        <v/>
      </c>
      <c r="N423" s="15" t="n"/>
      <c r="O423" s="22">
        <f>IF(OR($M423="",$M423="OK"),"",$L423+ROW()/100000)</f>
        <v/>
      </c>
    </row>
    <row r="424">
      <c r="A424" s="15" t="n"/>
      <c r="B424" s="15" t="n"/>
      <c r="C424" s="16">
        <f>IF($B424="","",IFERROR(INDEX('Intervals'!$B$4:$B$33,MATCH($B424,'Intervals'!$A$4:$A$33,0)),""))</f>
        <v/>
      </c>
      <c r="D424" s="17" t="n"/>
      <c r="E424" s="18" t="n"/>
      <c r="F424" s="19">
        <f>IF(OR($B424="",$E424=""),"",IFERROR(IF(AND(INDEX('Intervals'!$G$4:$G$33,MATCH($B424,'Intervals'!$A$4:$A$33,0))&lt;&gt;"No",N(INDEX('Intervals'!$C$4:$C$33,MATCH($B424,'Intervals'!$A$4:$A$33,0)))&gt;0),$E424+N(INDEX('Intervals'!$C$4:$C$33,MATCH($B424,'Intervals'!$A$4:$A$33,0))),""),""))</f>
        <v/>
      </c>
      <c r="G424" s="20">
        <f>IF(OR($B424="",$D424=""),"",IFERROR(IF(AND(INDEX('Intervals'!$G$4:$G$33,MATCH($B424,'Intervals'!$A$4:$A$33,0))&lt;&gt;"No",N(INDEX('Intervals'!$D$4:$D$33,MATCH($B424,'Intervals'!$A$4:$A$33,0)))&gt;0),EDATE($D424,N(INDEX('Intervals'!$D$4:$D$33,MATCH($B424,'Intervals'!$A$4:$A$33,0)))),""),""))</f>
        <v/>
      </c>
      <c r="H424" s="19">
        <f>IF($A424="","",IFERROR(IF(N(INDEX('Cars'!$H$4:$H$103,MATCH($A424,'Cars'!$A$4:$A$103,0)))&gt;0,INDEX('Cars'!$H$4:$H$103,MATCH($A424,'Cars'!$A$4:$A$103,0)),""),""))</f>
        <v/>
      </c>
      <c r="I424" s="19">
        <f>IF(OR($F424="",$H424=""),"",$F424-$H424)</f>
        <v/>
      </c>
      <c r="J424" s="21">
        <f>IF($G424="","",$G424-TODAY())</f>
        <v/>
      </c>
      <c r="K424" s="21">
        <f>IF($I424="","",IFERROR(IF(N(INDEX('Cars'!$J$4:$J$103,MATCH($A424,'Cars'!$A$4:$A$103,0)))&gt;0,ROUND($I424/INDEX('Cars'!$J$4:$J$103,MATCH($A424,'Cars'!$A$4:$A$103,0))*30,0),""),""))</f>
        <v/>
      </c>
      <c r="L424" s="21">
        <f>IF(AND($J424="",$K424=""),"",MIN(IF($J424="",99999,$J424),IF($K424="",99999,$K424)))</f>
        <v/>
      </c>
      <c r="M424" s="16">
        <f>IF(AND($I424="",$J424=""),"",IF(OR(AND($I424&lt;&gt;"",N($I424)&lt;0),AND($J424&lt;&gt;"",N($J424)&lt;0)),"Overdue",IF(OR(AND($I424&lt;&gt;"",N($I424)&lt;=IFERROR(INDEX('Intervals'!$E$4:$E$33,MATCH($B424,'Intervals'!$A$4:$A$33,0)),500)),AND($J424&lt;&gt;"",N($J424)&lt;=IFERROR(INDEX('Intervals'!$F$4:$F$33,MATCH($B424,'Intervals'!$A$4:$A$33,0)),14))),"Due soon","OK")))</f>
        <v/>
      </c>
      <c r="N424" s="15" t="n"/>
      <c r="O424" s="22">
        <f>IF(OR($M424="",$M424="OK"),"",$L424+ROW()/100000)</f>
        <v/>
      </c>
    </row>
    <row r="425">
      <c r="A425" s="15" t="n"/>
      <c r="B425" s="15" t="n"/>
      <c r="C425" s="16">
        <f>IF($B425="","",IFERROR(INDEX('Intervals'!$B$4:$B$33,MATCH($B425,'Intervals'!$A$4:$A$33,0)),""))</f>
        <v/>
      </c>
      <c r="D425" s="17" t="n"/>
      <c r="E425" s="18" t="n"/>
      <c r="F425" s="19">
        <f>IF(OR($B425="",$E425=""),"",IFERROR(IF(AND(INDEX('Intervals'!$G$4:$G$33,MATCH($B425,'Intervals'!$A$4:$A$33,0))&lt;&gt;"No",N(INDEX('Intervals'!$C$4:$C$33,MATCH($B425,'Intervals'!$A$4:$A$33,0)))&gt;0),$E425+N(INDEX('Intervals'!$C$4:$C$33,MATCH($B425,'Intervals'!$A$4:$A$33,0))),""),""))</f>
        <v/>
      </c>
      <c r="G425" s="20">
        <f>IF(OR($B425="",$D425=""),"",IFERROR(IF(AND(INDEX('Intervals'!$G$4:$G$33,MATCH($B425,'Intervals'!$A$4:$A$33,0))&lt;&gt;"No",N(INDEX('Intervals'!$D$4:$D$33,MATCH($B425,'Intervals'!$A$4:$A$33,0)))&gt;0),EDATE($D425,N(INDEX('Intervals'!$D$4:$D$33,MATCH($B425,'Intervals'!$A$4:$A$33,0)))),""),""))</f>
        <v/>
      </c>
      <c r="H425" s="19">
        <f>IF($A425="","",IFERROR(IF(N(INDEX('Cars'!$H$4:$H$103,MATCH($A425,'Cars'!$A$4:$A$103,0)))&gt;0,INDEX('Cars'!$H$4:$H$103,MATCH($A425,'Cars'!$A$4:$A$103,0)),""),""))</f>
        <v/>
      </c>
      <c r="I425" s="19">
        <f>IF(OR($F425="",$H425=""),"",$F425-$H425)</f>
        <v/>
      </c>
      <c r="J425" s="21">
        <f>IF($G425="","",$G425-TODAY())</f>
        <v/>
      </c>
      <c r="K425" s="21">
        <f>IF($I425="","",IFERROR(IF(N(INDEX('Cars'!$J$4:$J$103,MATCH($A425,'Cars'!$A$4:$A$103,0)))&gt;0,ROUND($I425/INDEX('Cars'!$J$4:$J$103,MATCH($A425,'Cars'!$A$4:$A$103,0))*30,0),""),""))</f>
        <v/>
      </c>
      <c r="L425" s="21">
        <f>IF(AND($J425="",$K425=""),"",MIN(IF($J425="",99999,$J425),IF($K425="",99999,$K425)))</f>
        <v/>
      </c>
      <c r="M425" s="16">
        <f>IF(AND($I425="",$J425=""),"",IF(OR(AND($I425&lt;&gt;"",N($I425)&lt;0),AND($J425&lt;&gt;"",N($J425)&lt;0)),"Overdue",IF(OR(AND($I425&lt;&gt;"",N($I425)&lt;=IFERROR(INDEX('Intervals'!$E$4:$E$33,MATCH($B425,'Intervals'!$A$4:$A$33,0)),500)),AND($J425&lt;&gt;"",N($J425)&lt;=IFERROR(INDEX('Intervals'!$F$4:$F$33,MATCH($B425,'Intervals'!$A$4:$A$33,0)),14))),"Due soon","OK")))</f>
        <v/>
      </c>
      <c r="N425" s="15" t="n"/>
      <c r="O425" s="22">
        <f>IF(OR($M425="",$M425="OK"),"",$L425+ROW()/100000)</f>
        <v/>
      </c>
    </row>
    <row r="426">
      <c r="A426" s="15" t="n"/>
      <c r="B426" s="15" t="n"/>
      <c r="C426" s="16">
        <f>IF($B426="","",IFERROR(INDEX('Intervals'!$B$4:$B$33,MATCH($B426,'Intervals'!$A$4:$A$33,0)),""))</f>
        <v/>
      </c>
      <c r="D426" s="17" t="n"/>
      <c r="E426" s="18" t="n"/>
      <c r="F426" s="19">
        <f>IF(OR($B426="",$E426=""),"",IFERROR(IF(AND(INDEX('Intervals'!$G$4:$G$33,MATCH($B426,'Intervals'!$A$4:$A$33,0))&lt;&gt;"No",N(INDEX('Intervals'!$C$4:$C$33,MATCH($B426,'Intervals'!$A$4:$A$33,0)))&gt;0),$E426+N(INDEX('Intervals'!$C$4:$C$33,MATCH($B426,'Intervals'!$A$4:$A$33,0))),""),""))</f>
        <v/>
      </c>
      <c r="G426" s="20">
        <f>IF(OR($B426="",$D426=""),"",IFERROR(IF(AND(INDEX('Intervals'!$G$4:$G$33,MATCH($B426,'Intervals'!$A$4:$A$33,0))&lt;&gt;"No",N(INDEX('Intervals'!$D$4:$D$33,MATCH($B426,'Intervals'!$A$4:$A$33,0)))&gt;0),EDATE($D426,N(INDEX('Intervals'!$D$4:$D$33,MATCH($B426,'Intervals'!$A$4:$A$33,0)))),""),""))</f>
        <v/>
      </c>
      <c r="H426" s="19">
        <f>IF($A426="","",IFERROR(IF(N(INDEX('Cars'!$H$4:$H$103,MATCH($A426,'Cars'!$A$4:$A$103,0)))&gt;0,INDEX('Cars'!$H$4:$H$103,MATCH($A426,'Cars'!$A$4:$A$103,0)),""),""))</f>
        <v/>
      </c>
      <c r="I426" s="19">
        <f>IF(OR($F426="",$H426=""),"",$F426-$H426)</f>
        <v/>
      </c>
      <c r="J426" s="21">
        <f>IF($G426="","",$G426-TODAY())</f>
        <v/>
      </c>
      <c r="K426" s="21">
        <f>IF($I426="","",IFERROR(IF(N(INDEX('Cars'!$J$4:$J$103,MATCH($A426,'Cars'!$A$4:$A$103,0)))&gt;0,ROUND($I426/INDEX('Cars'!$J$4:$J$103,MATCH($A426,'Cars'!$A$4:$A$103,0))*30,0),""),""))</f>
        <v/>
      </c>
      <c r="L426" s="21">
        <f>IF(AND($J426="",$K426=""),"",MIN(IF($J426="",99999,$J426),IF($K426="",99999,$K426)))</f>
        <v/>
      </c>
      <c r="M426" s="16">
        <f>IF(AND($I426="",$J426=""),"",IF(OR(AND($I426&lt;&gt;"",N($I426)&lt;0),AND($J426&lt;&gt;"",N($J426)&lt;0)),"Overdue",IF(OR(AND($I426&lt;&gt;"",N($I426)&lt;=IFERROR(INDEX('Intervals'!$E$4:$E$33,MATCH($B426,'Intervals'!$A$4:$A$33,0)),500)),AND($J426&lt;&gt;"",N($J426)&lt;=IFERROR(INDEX('Intervals'!$F$4:$F$33,MATCH($B426,'Intervals'!$A$4:$A$33,0)),14))),"Due soon","OK")))</f>
        <v/>
      </c>
      <c r="N426" s="15" t="n"/>
      <c r="O426" s="22">
        <f>IF(OR($M426="",$M426="OK"),"",$L426+ROW()/100000)</f>
        <v/>
      </c>
    </row>
    <row r="427">
      <c r="A427" s="15" t="n"/>
      <c r="B427" s="15" t="n"/>
      <c r="C427" s="16">
        <f>IF($B427="","",IFERROR(INDEX('Intervals'!$B$4:$B$33,MATCH($B427,'Intervals'!$A$4:$A$33,0)),""))</f>
        <v/>
      </c>
      <c r="D427" s="17" t="n"/>
      <c r="E427" s="18" t="n"/>
      <c r="F427" s="19">
        <f>IF(OR($B427="",$E427=""),"",IFERROR(IF(AND(INDEX('Intervals'!$G$4:$G$33,MATCH($B427,'Intervals'!$A$4:$A$33,0))&lt;&gt;"No",N(INDEX('Intervals'!$C$4:$C$33,MATCH($B427,'Intervals'!$A$4:$A$33,0)))&gt;0),$E427+N(INDEX('Intervals'!$C$4:$C$33,MATCH($B427,'Intervals'!$A$4:$A$33,0))),""),""))</f>
        <v/>
      </c>
      <c r="G427" s="20">
        <f>IF(OR($B427="",$D427=""),"",IFERROR(IF(AND(INDEX('Intervals'!$G$4:$G$33,MATCH($B427,'Intervals'!$A$4:$A$33,0))&lt;&gt;"No",N(INDEX('Intervals'!$D$4:$D$33,MATCH($B427,'Intervals'!$A$4:$A$33,0)))&gt;0),EDATE($D427,N(INDEX('Intervals'!$D$4:$D$33,MATCH($B427,'Intervals'!$A$4:$A$33,0)))),""),""))</f>
        <v/>
      </c>
      <c r="H427" s="19">
        <f>IF($A427="","",IFERROR(IF(N(INDEX('Cars'!$H$4:$H$103,MATCH($A427,'Cars'!$A$4:$A$103,0)))&gt;0,INDEX('Cars'!$H$4:$H$103,MATCH($A427,'Cars'!$A$4:$A$103,0)),""),""))</f>
        <v/>
      </c>
      <c r="I427" s="19">
        <f>IF(OR($F427="",$H427=""),"",$F427-$H427)</f>
        <v/>
      </c>
      <c r="J427" s="21">
        <f>IF($G427="","",$G427-TODAY())</f>
        <v/>
      </c>
      <c r="K427" s="21">
        <f>IF($I427="","",IFERROR(IF(N(INDEX('Cars'!$J$4:$J$103,MATCH($A427,'Cars'!$A$4:$A$103,0)))&gt;0,ROUND($I427/INDEX('Cars'!$J$4:$J$103,MATCH($A427,'Cars'!$A$4:$A$103,0))*30,0),""),""))</f>
        <v/>
      </c>
      <c r="L427" s="21">
        <f>IF(AND($J427="",$K427=""),"",MIN(IF($J427="",99999,$J427),IF($K427="",99999,$K427)))</f>
        <v/>
      </c>
      <c r="M427" s="16">
        <f>IF(AND($I427="",$J427=""),"",IF(OR(AND($I427&lt;&gt;"",N($I427)&lt;0),AND($J427&lt;&gt;"",N($J427)&lt;0)),"Overdue",IF(OR(AND($I427&lt;&gt;"",N($I427)&lt;=IFERROR(INDEX('Intervals'!$E$4:$E$33,MATCH($B427,'Intervals'!$A$4:$A$33,0)),500)),AND($J427&lt;&gt;"",N($J427)&lt;=IFERROR(INDEX('Intervals'!$F$4:$F$33,MATCH($B427,'Intervals'!$A$4:$A$33,0)),14))),"Due soon","OK")))</f>
        <v/>
      </c>
      <c r="N427" s="15" t="n"/>
      <c r="O427" s="22">
        <f>IF(OR($M427="",$M427="OK"),"",$L427+ROW()/100000)</f>
        <v/>
      </c>
    </row>
    <row r="428">
      <c r="A428" s="15" t="n"/>
      <c r="B428" s="15" t="n"/>
      <c r="C428" s="16">
        <f>IF($B428="","",IFERROR(INDEX('Intervals'!$B$4:$B$33,MATCH($B428,'Intervals'!$A$4:$A$33,0)),""))</f>
        <v/>
      </c>
      <c r="D428" s="17" t="n"/>
      <c r="E428" s="18" t="n"/>
      <c r="F428" s="19">
        <f>IF(OR($B428="",$E428=""),"",IFERROR(IF(AND(INDEX('Intervals'!$G$4:$G$33,MATCH($B428,'Intervals'!$A$4:$A$33,0))&lt;&gt;"No",N(INDEX('Intervals'!$C$4:$C$33,MATCH($B428,'Intervals'!$A$4:$A$33,0)))&gt;0),$E428+N(INDEX('Intervals'!$C$4:$C$33,MATCH($B428,'Intervals'!$A$4:$A$33,0))),""),""))</f>
        <v/>
      </c>
      <c r="G428" s="20">
        <f>IF(OR($B428="",$D428=""),"",IFERROR(IF(AND(INDEX('Intervals'!$G$4:$G$33,MATCH($B428,'Intervals'!$A$4:$A$33,0))&lt;&gt;"No",N(INDEX('Intervals'!$D$4:$D$33,MATCH($B428,'Intervals'!$A$4:$A$33,0)))&gt;0),EDATE($D428,N(INDEX('Intervals'!$D$4:$D$33,MATCH($B428,'Intervals'!$A$4:$A$33,0)))),""),""))</f>
        <v/>
      </c>
      <c r="H428" s="19">
        <f>IF($A428="","",IFERROR(IF(N(INDEX('Cars'!$H$4:$H$103,MATCH($A428,'Cars'!$A$4:$A$103,0)))&gt;0,INDEX('Cars'!$H$4:$H$103,MATCH($A428,'Cars'!$A$4:$A$103,0)),""),""))</f>
        <v/>
      </c>
      <c r="I428" s="19">
        <f>IF(OR($F428="",$H428=""),"",$F428-$H428)</f>
        <v/>
      </c>
      <c r="J428" s="21">
        <f>IF($G428="","",$G428-TODAY())</f>
        <v/>
      </c>
      <c r="K428" s="21">
        <f>IF($I428="","",IFERROR(IF(N(INDEX('Cars'!$J$4:$J$103,MATCH($A428,'Cars'!$A$4:$A$103,0)))&gt;0,ROUND($I428/INDEX('Cars'!$J$4:$J$103,MATCH($A428,'Cars'!$A$4:$A$103,0))*30,0),""),""))</f>
        <v/>
      </c>
      <c r="L428" s="21">
        <f>IF(AND($J428="",$K428=""),"",MIN(IF($J428="",99999,$J428),IF($K428="",99999,$K428)))</f>
        <v/>
      </c>
      <c r="M428" s="16">
        <f>IF(AND($I428="",$J428=""),"",IF(OR(AND($I428&lt;&gt;"",N($I428)&lt;0),AND($J428&lt;&gt;"",N($J428)&lt;0)),"Overdue",IF(OR(AND($I428&lt;&gt;"",N($I428)&lt;=IFERROR(INDEX('Intervals'!$E$4:$E$33,MATCH($B428,'Intervals'!$A$4:$A$33,0)),500)),AND($J428&lt;&gt;"",N($J428)&lt;=IFERROR(INDEX('Intervals'!$F$4:$F$33,MATCH($B428,'Intervals'!$A$4:$A$33,0)),14))),"Due soon","OK")))</f>
        <v/>
      </c>
      <c r="N428" s="15" t="n"/>
      <c r="O428" s="22">
        <f>IF(OR($M428="",$M428="OK"),"",$L428+ROW()/100000)</f>
        <v/>
      </c>
    </row>
    <row r="429">
      <c r="A429" s="15" t="n"/>
      <c r="B429" s="15" t="n"/>
      <c r="C429" s="16">
        <f>IF($B429="","",IFERROR(INDEX('Intervals'!$B$4:$B$33,MATCH($B429,'Intervals'!$A$4:$A$33,0)),""))</f>
        <v/>
      </c>
      <c r="D429" s="17" t="n"/>
      <c r="E429" s="18" t="n"/>
      <c r="F429" s="19">
        <f>IF(OR($B429="",$E429=""),"",IFERROR(IF(AND(INDEX('Intervals'!$G$4:$G$33,MATCH($B429,'Intervals'!$A$4:$A$33,0))&lt;&gt;"No",N(INDEX('Intervals'!$C$4:$C$33,MATCH($B429,'Intervals'!$A$4:$A$33,0)))&gt;0),$E429+N(INDEX('Intervals'!$C$4:$C$33,MATCH($B429,'Intervals'!$A$4:$A$33,0))),""),""))</f>
        <v/>
      </c>
      <c r="G429" s="20">
        <f>IF(OR($B429="",$D429=""),"",IFERROR(IF(AND(INDEX('Intervals'!$G$4:$G$33,MATCH($B429,'Intervals'!$A$4:$A$33,0))&lt;&gt;"No",N(INDEX('Intervals'!$D$4:$D$33,MATCH($B429,'Intervals'!$A$4:$A$33,0)))&gt;0),EDATE($D429,N(INDEX('Intervals'!$D$4:$D$33,MATCH($B429,'Intervals'!$A$4:$A$33,0)))),""),""))</f>
        <v/>
      </c>
      <c r="H429" s="19">
        <f>IF($A429="","",IFERROR(IF(N(INDEX('Cars'!$H$4:$H$103,MATCH($A429,'Cars'!$A$4:$A$103,0)))&gt;0,INDEX('Cars'!$H$4:$H$103,MATCH($A429,'Cars'!$A$4:$A$103,0)),""),""))</f>
        <v/>
      </c>
      <c r="I429" s="19">
        <f>IF(OR($F429="",$H429=""),"",$F429-$H429)</f>
        <v/>
      </c>
      <c r="J429" s="21">
        <f>IF($G429="","",$G429-TODAY())</f>
        <v/>
      </c>
      <c r="K429" s="21">
        <f>IF($I429="","",IFERROR(IF(N(INDEX('Cars'!$J$4:$J$103,MATCH($A429,'Cars'!$A$4:$A$103,0)))&gt;0,ROUND($I429/INDEX('Cars'!$J$4:$J$103,MATCH($A429,'Cars'!$A$4:$A$103,0))*30,0),""),""))</f>
        <v/>
      </c>
      <c r="L429" s="21">
        <f>IF(AND($J429="",$K429=""),"",MIN(IF($J429="",99999,$J429),IF($K429="",99999,$K429)))</f>
        <v/>
      </c>
      <c r="M429" s="16">
        <f>IF(AND($I429="",$J429=""),"",IF(OR(AND($I429&lt;&gt;"",N($I429)&lt;0),AND($J429&lt;&gt;"",N($J429)&lt;0)),"Overdue",IF(OR(AND($I429&lt;&gt;"",N($I429)&lt;=IFERROR(INDEX('Intervals'!$E$4:$E$33,MATCH($B429,'Intervals'!$A$4:$A$33,0)),500)),AND($J429&lt;&gt;"",N($J429)&lt;=IFERROR(INDEX('Intervals'!$F$4:$F$33,MATCH($B429,'Intervals'!$A$4:$A$33,0)),14))),"Due soon","OK")))</f>
        <v/>
      </c>
      <c r="N429" s="15" t="n"/>
      <c r="O429" s="22">
        <f>IF(OR($M429="",$M429="OK"),"",$L429+ROW()/100000)</f>
        <v/>
      </c>
    </row>
    <row r="430">
      <c r="A430" s="15" t="n"/>
      <c r="B430" s="15" t="n"/>
      <c r="C430" s="16">
        <f>IF($B430="","",IFERROR(INDEX('Intervals'!$B$4:$B$33,MATCH($B430,'Intervals'!$A$4:$A$33,0)),""))</f>
        <v/>
      </c>
      <c r="D430" s="17" t="n"/>
      <c r="E430" s="18" t="n"/>
      <c r="F430" s="19">
        <f>IF(OR($B430="",$E430=""),"",IFERROR(IF(AND(INDEX('Intervals'!$G$4:$G$33,MATCH($B430,'Intervals'!$A$4:$A$33,0))&lt;&gt;"No",N(INDEX('Intervals'!$C$4:$C$33,MATCH($B430,'Intervals'!$A$4:$A$33,0)))&gt;0),$E430+N(INDEX('Intervals'!$C$4:$C$33,MATCH($B430,'Intervals'!$A$4:$A$33,0))),""),""))</f>
        <v/>
      </c>
      <c r="G430" s="20">
        <f>IF(OR($B430="",$D430=""),"",IFERROR(IF(AND(INDEX('Intervals'!$G$4:$G$33,MATCH($B430,'Intervals'!$A$4:$A$33,0))&lt;&gt;"No",N(INDEX('Intervals'!$D$4:$D$33,MATCH($B430,'Intervals'!$A$4:$A$33,0)))&gt;0),EDATE($D430,N(INDEX('Intervals'!$D$4:$D$33,MATCH($B430,'Intervals'!$A$4:$A$33,0)))),""),""))</f>
        <v/>
      </c>
      <c r="H430" s="19">
        <f>IF($A430="","",IFERROR(IF(N(INDEX('Cars'!$H$4:$H$103,MATCH($A430,'Cars'!$A$4:$A$103,0)))&gt;0,INDEX('Cars'!$H$4:$H$103,MATCH($A430,'Cars'!$A$4:$A$103,0)),""),""))</f>
        <v/>
      </c>
      <c r="I430" s="19">
        <f>IF(OR($F430="",$H430=""),"",$F430-$H430)</f>
        <v/>
      </c>
      <c r="J430" s="21">
        <f>IF($G430="","",$G430-TODAY())</f>
        <v/>
      </c>
      <c r="K430" s="21">
        <f>IF($I430="","",IFERROR(IF(N(INDEX('Cars'!$J$4:$J$103,MATCH($A430,'Cars'!$A$4:$A$103,0)))&gt;0,ROUND($I430/INDEX('Cars'!$J$4:$J$103,MATCH($A430,'Cars'!$A$4:$A$103,0))*30,0),""),""))</f>
        <v/>
      </c>
      <c r="L430" s="21">
        <f>IF(AND($J430="",$K430=""),"",MIN(IF($J430="",99999,$J430),IF($K430="",99999,$K430)))</f>
        <v/>
      </c>
      <c r="M430" s="16">
        <f>IF(AND($I430="",$J430=""),"",IF(OR(AND($I430&lt;&gt;"",N($I430)&lt;0),AND($J430&lt;&gt;"",N($J430)&lt;0)),"Overdue",IF(OR(AND($I430&lt;&gt;"",N($I430)&lt;=IFERROR(INDEX('Intervals'!$E$4:$E$33,MATCH($B430,'Intervals'!$A$4:$A$33,0)),500)),AND($J430&lt;&gt;"",N($J430)&lt;=IFERROR(INDEX('Intervals'!$F$4:$F$33,MATCH($B430,'Intervals'!$A$4:$A$33,0)),14))),"Due soon","OK")))</f>
        <v/>
      </c>
      <c r="N430" s="15" t="n"/>
      <c r="O430" s="22">
        <f>IF(OR($M430="",$M430="OK"),"",$L430+ROW()/100000)</f>
        <v/>
      </c>
    </row>
    <row r="431">
      <c r="A431" s="15" t="n"/>
      <c r="B431" s="15" t="n"/>
      <c r="C431" s="16">
        <f>IF($B431="","",IFERROR(INDEX('Intervals'!$B$4:$B$33,MATCH($B431,'Intervals'!$A$4:$A$33,0)),""))</f>
        <v/>
      </c>
      <c r="D431" s="17" t="n"/>
      <c r="E431" s="18" t="n"/>
      <c r="F431" s="19">
        <f>IF(OR($B431="",$E431=""),"",IFERROR(IF(AND(INDEX('Intervals'!$G$4:$G$33,MATCH($B431,'Intervals'!$A$4:$A$33,0))&lt;&gt;"No",N(INDEX('Intervals'!$C$4:$C$33,MATCH($B431,'Intervals'!$A$4:$A$33,0)))&gt;0),$E431+N(INDEX('Intervals'!$C$4:$C$33,MATCH($B431,'Intervals'!$A$4:$A$33,0))),""),""))</f>
        <v/>
      </c>
      <c r="G431" s="20">
        <f>IF(OR($B431="",$D431=""),"",IFERROR(IF(AND(INDEX('Intervals'!$G$4:$G$33,MATCH($B431,'Intervals'!$A$4:$A$33,0))&lt;&gt;"No",N(INDEX('Intervals'!$D$4:$D$33,MATCH($B431,'Intervals'!$A$4:$A$33,0)))&gt;0),EDATE($D431,N(INDEX('Intervals'!$D$4:$D$33,MATCH($B431,'Intervals'!$A$4:$A$33,0)))),""),""))</f>
        <v/>
      </c>
      <c r="H431" s="19">
        <f>IF($A431="","",IFERROR(IF(N(INDEX('Cars'!$H$4:$H$103,MATCH($A431,'Cars'!$A$4:$A$103,0)))&gt;0,INDEX('Cars'!$H$4:$H$103,MATCH($A431,'Cars'!$A$4:$A$103,0)),""),""))</f>
        <v/>
      </c>
      <c r="I431" s="19">
        <f>IF(OR($F431="",$H431=""),"",$F431-$H431)</f>
        <v/>
      </c>
      <c r="J431" s="21">
        <f>IF($G431="","",$G431-TODAY())</f>
        <v/>
      </c>
      <c r="K431" s="21">
        <f>IF($I431="","",IFERROR(IF(N(INDEX('Cars'!$J$4:$J$103,MATCH($A431,'Cars'!$A$4:$A$103,0)))&gt;0,ROUND($I431/INDEX('Cars'!$J$4:$J$103,MATCH($A431,'Cars'!$A$4:$A$103,0))*30,0),""),""))</f>
        <v/>
      </c>
      <c r="L431" s="21">
        <f>IF(AND($J431="",$K431=""),"",MIN(IF($J431="",99999,$J431),IF($K431="",99999,$K431)))</f>
        <v/>
      </c>
      <c r="M431" s="16">
        <f>IF(AND($I431="",$J431=""),"",IF(OR(AND($I431&lt;&gt;"",N($I431)&lt;0),AND($J431&lt;&gt;"",N($J431)&lt;0)),"Overdue",IF(OR(AND($I431&lt;&gt;"",N($I431)&lt;=IFERROR(INDEX('Intervals'!$E$4:$E$33,MATCH($B431,'Intervals'!$A$4:$A$33,0)),500)),AND($J431&lt;&gt;"",N($J431)&lt;=IFERROR(INDEX('Intervals'!$F$4:$F$33,MATCH($B431,'Intervals'!$A$4:$A$33,0)),14))),"Due soon","OK")))</f>
        <v/>
      </c>
      <c r="N431" s="15" t="n"/>
      <c r="O431" s="22">
        <f>IF(OR($M431="",$M431="OK"),"",$L431+ROW()/100000)</f>
        <v/>
      </c>
    </row>
    <row r="432">
      <c r="A432" s="15" t="n"/>
      <c r="B432" s="15" t="n"/>
      <c r="C432" s="16">
        <f>IF($B432="","",IFERROR(INDEX('Intervals'!$B$4:$B$33,MATCH($B432,'Intervals'!$A$4:$A$33,0)),""))</f>
        <v/>
      </c>
      <c r="D432" s="17" t="n"/>
      <c r="E432" s="18" t="n"/>
      <c r="F432" s="19">
        <f>IF(OR($B432="",$E432=""),"",IFERROR(IF(AND(INDEX('Intervals'!$G$4:$G$33,MATCH($B432,'Intervals'!$A$4:$A$33,0))&lt;&gt;"No",N(INDEX('Intervals'!$C$4:$C$33,MATCH($B432,'Intervals'!$A$4:$A$33,0)))&gt;0),$E432+N(INDEX('Intervals'!$C$4:$C$33,MATCH($B432,'Intervals'!$A$4:$A$33,0))),""),""))</f>
        <v/>
      </c>
      <c r="G432" s="20">
        <f>IF(OR($B432="",$D432=""),"",IFERROR(IF(AND(INDEX('Intervals'!$G$4:$G$33,MATCH($B432,'Intervals'!$A$4:$A$33,0))&lt;&gt;"No",N(INDEX('Intervals'!$D$4:$D$33,MATCH($B432,'Intervals'!$A$4:$A$33,0)))&gt;0),EDATE($D432,N(INDEX('Intervals'!$D$4:$D$33,MATCH($B432,'Intervals'!$A$4:$A$33,0)))),""),""))</f>
        <v/>
      </c>
      <c r="H432" s="19">
        <f>IF($A432="","",IFERROR(IF(N(INDEX('Cars'!$H$4:$H$103,MATCH($A432,'Cars'!$A$4:$A$103,0)))&gt;0,INDEX('Cars'!$H$4:$H$103,MATCH($A432,'Cars'!$A$4:$A$103,0)),""),""))</f>
        <v/>
      </c>
      <c r="I432" s="19">
        <f>IF(OR($F432="",$H432=""),"",$F432-$H432)</f>
        <v/>
      </c>
      <c r="J432" s="21">
        <f>IF($G432="","",$G432-TODAY())</f>
        <v/>
      </c>
      <c r="K432" s="21">
        <f>IF($I432="","",IFERROR(IF(N(INDEX('Cars'!$J$4:$J$103,MATCH($A432,'Cars'!$A$4:$A$103,0)))&gt;0,ROUND($I432/INDEX('Cars'!$J$4:$J$103,MATCH($A432,'Cars'!$A$4:$A$103,0))*30,0),""),""))</f>
        <v/>
      </c>
      <c r="L432" s="21">
        <f>IF(AND($J432="",$K432=""),"",MIN(IF($J432="",99999,$J432),IF($K432="",99999,$K432)))</f>
        <v/>
      </c>
      <c r="M432" s="16">
        <f>IF(AND($I432="",$J432=""),"",IF(OR(AND($I432&lt;&gt;"",N($I432)&lt;0),AND($J432&lt;&gt;"",N($J432)&lt;0)),"Overdue",IF(OR(AND($I432&lt;&gt;"",N($I432)&lt;=IFERROR(INDEX('Intervals'!$E$4:$E$33,MATCH($B432,'Intervals'!$A$4:$A$33,0)),500)),AND($J432&lt;&gt;"",N($J432)&lt;=IFERROR(INDEX('Intervals'!$F$4:$F$33,MATCH($B432,'Intervals'!$A$4:$A$33,0)),14))),"Due soon","OK")))</f>
        <v/>
      </c>
      <c r="N432" s="15" t="n"/>
      <c r="O432" s="22">
        <f>IF(OR($M432="",$M432="OK"),"",$L432+ROW()/100000)</f>
        <v/>
      </c>
    </row>
    <row r="433">
      <c r="A433" s="15" t="n"/>
      <c r="B433" s="15" t="n"/>
      <c r="C433" s="16">
        <f>IF($B433="","",IFERROR(INDEX('Intervals'!$B$4:$B$33,MATCH($B433,'Intervals'!$A$4:$A$33,0)),""))</f>
        <v/>
      </c>
      <c r="D433" s="17" t="n"/>
      <c r="E433" s="18" t="n"/>
      <c r="F433" s="19">
        <f>IF(OR($B433="",$E433=""),"",IFERROR(IF(AND(INDEX('Intervals'!$G$4:$G$33,MATCH($B433,'Intervals'!$A$4:$A$33,0))&lt;&gt;"No",N(INDEX('Intervals'!$C$4:$C$33,MATCH($B433,'Intervals'!$A$4:$A$33,0)))&gt;0),$E433+N(INDEX('Intervals'!$C$4:$C$33,MATCH($B433,'Intervals'!$A$4:$A$33,0))),""),""))</f>
        <v/>
      </c>
      <c r="G433" s="20">
        <f>IF(OR($B433="",$D433=""),"",IFERROR(IF(AND(INDEX('Intervals'!$G$4:$G$33,MATCH($B433,'Intervals'!$A$4:$A$33,0))&lt;&gt;"No",N(INDEX('Intervals'!$D$4:$D$33,MATCH($B433,'Intervals'!$A$4:$A$33,0)))&gt;0),EDATE($D433,N(INDEX('Intervals'!$D$4:$D$33,MATCH($B433,'Intervals'!$A$4:$A$33,0)))),""),""))</f>
        <v/>
      </c>
      <c r="H433" s="19">
        <f>IF($A433="","",IFERROR(IF(N(INDEX('Cars'!$H$4:$H$103,MATCH($A433,'Cars'!$A$4:$A$103,0)))&gt;0,INDEX('Cars'!$H$4:$H$103,MATCH($A433,'Cars'!$A$4:$A$103,0)),""),""))</f>
        <v/>
      </c>
      <c r="I433" s="19">
        <f>IF(OR($F433="",$H433=""),"",$F433-$H433)</f>
        <v/>
      </c>
      <c r="J433" s="21">
        <f>IF($G433="","",$G433-TODAY())</f>
        <v/>
      </c>
      <c r="K433" s="21">
        <f>IF($I433="","",IFERROR(IF(N(INDEX('Cars'!$J$4:$J$103,MATCH($A433,'Cars'!$A$4:$A$103,0)))&gt;0,ROUND($I433/INDEX('Cars'!$J$4:$J$103,MATCH($A433,'Cars'!$A$4:$A$103,0))*30,0),""),""))</f>
        <v/>
      </c>
      <c r="L433" s="21">
        <f>IF(AND($J433="",$K433=""),"",MIN(IF($J433="",99999,$J433),IF($K433="",99999,$K433)))</f>
        <v/>
      </c>
      <c r="M433" s="16">
        <f>IF(AND($I433="",$J433=""),"",IF(OR(AND($I433&lt;&gt;"",N($I433)&lt;0),AND($J433&lt;&gt;"",N($J433)&lt;0)),"Overdue",IF(OR(AND($I433&lt;&gt;"",N($I433)&lt;=IFERROR(INDEX('Intervals'!$E$4:$E$33,MATCH($B433,'Intervals'!$A$4:$A$33,0)),500)),AND($J433&lt;&gt;"",N($J433)&lt;=IFERROR(INDEX('Intervals'!$F$4:$F$33,MATCH($B433,'Intervals'!$A$4:$A$33,0)),14))),"Due soon","OK")))</f>
        <v/>
      </c>
      <c r="N433" s="15" t="n"/>
      <c r="O433" s="22">
        <f>IF(OR($M433="",$M433="OK"),"",$L433+ROW()/100000)</f>
        <v/>
      </c>
    </row>
    <row r="434">
      <c r="A434" s="15" t="n"/>
      <c r="B434" s="15" t="n"/>
      <c r="C434" s="16">
        <f>IF($B434="","",IFERROR(INDEX('Intervals'!$B$4:$B$33,MATCH($B434,'Intervals'!$A$4:$A$33,0)),""))</f>
        <v/>
      </c>
      <c r="D434" s="17" t="n"/>
      <c r="E434" s="18" t="n"/>
      <c r="F434" s="19">
        <f>IF(OR($B434="",$E434=""),"",IFERROR(IF(AND(INDEX('Intervals'!$G$4:$G$33,MATCH($B434,'Intervals'!$A$4:$A$33,0))&lt;&gt;"No",N(INDEX('Intervals'!$C$4:$C$33,MATCH($B434,'Intervals'!$A$4:$A$33,0)))&gt;0),$E434+N(INDEX('Intervals'!$C$4:$C$33,MATCH($B434,'Intervals'!$A$4:$A$33,0))),""),""))</f>
        <v/>
      </c>
      <c r="G434" s="20">
        <f>IF(OR($B434="",$D434=""),"",IFERROR(IF(AND(INDEX('Intervals'!$G$4:$G$33,MATCH($B434,'Intervals'!$A$4:$A$33,0))&lt;&gt;"No",N(INDEX('Intervals'!$D$4:$D$33,MATCH($B434,'Intervals'!$A$4:$A$33,0)))&gt;0),EDATE($D434,N(INDEX('Intervals'!$D$4:$D$33,MATCH($B434,'Intervals'!$A$4:$A$33,0)))),""),""))</f>
        <v/>
      </c>
      <c r="H434" s="19">
        <f>IF($A434="","",IFERROR(IF(N(INDEX('Cars'!$H$4:$H$103,MATCH($A434,'Cars'!$A$4:$A$103,0)))&gt;0,INDEX('Cars'!$H$4:$H$103,MATCH($A434,'Cars'!$A$4:$A$103,0)),""),""))</f>
        <v/>
      </c>
      <c r="I434" s="19">
        <f>IF(OR($F434="",$H434=""),"",$F434-$H434)</f>
        <v/>
      </c>
      <c r="J434" s="21">
        <f>IF($G434="","",$G434-TODAY())</f>
        <v/>
      </c>
      <c r="K434" s="21">
        <f>IF($I434="","",IFERROR(IF(N(INDEX('Cars'!$J$4:$J$103,MATCH($A434,'Cars'!$A$4:$A$103,0)))&gt;0,ROUND($I434/INDEX('Cars'!$J$4:$J$103,MATCH($A434,'Cars'!$A$4:$A$103,0))*30,0),""),""))</f>
        <v/>
      </c>
      <c r="L434" s="21">
        <f>IF(AND($J434="",$K434=""),"",MIN(IF($J434="",99999,$J434),IF($K434="",99999,$K434)))</f>
        <v/>
      </c>
      <c r="M434" s="16">
        <f>IF(AND($I434="",$J434=""),"",IF(OR(AND($I434&lt;&gt;"",N($I434)&lt;0),AND($J434&lt;&gt;"",N($J434)&lt;0)),"Overdue",IF(OR(AND($I434&lt;&gt;"",N($I434)&lt;=IFERROR(INDEX('Intervals'!$E$4:$E$33,MATCH($B434,'Intervals'!$A$4:$A$33,0)),500)),AND($J434&lt;&gt;"",N($J434)&lt;=IFERROR(INDEX('Intervals'!$F$4:$F$33,MATCH($B434,'Intervals'!$A$4:$A$33,0)),14))),"Due soon","OK")))</f>
        <v/>
      </c>
      <c r="N434" s="15" t="n"/>
      <c r="O434" s="22">
        <f>IF(OR($M434="",$M434="OK"),"",$L434+ROW()/100000)</f>
        <v/>
      </c>
    </row>
    <row r="435">
      <c r="A435" s="15" t="n"/>
      <c r="B435" s="15" t="n"/>
      <c r="C435" s="16">
        <f>IF($B435="","",IFERROR(INDEX('Intervals'!$B$4:$B$33,MATCH($B435,'Intervals'!$A$4:$A$33,0)),""))</f>
        <v/>
      </c>
      <c r="D435" s="17" t="n"/>
      <c r="E435" s="18" t="n"/>
      <c r="F435" s="19">
        <f>IF(OR($B435="",$E435=""),"",IFERROR(IF(AND(INDEX('Intervals'!$G$4:$G$33,MATCH($B435,'Intervals'!$A$4:$A$33,0))&lt;&gt;"No",N(INDEX('Intervals'!$C$4:$C$33,MATCH($B435,'Intervals'!$A$4:$A$33,0)))&gt;0),$E435+N(INDEX('Intervals'!$C$4:$C$33,MATCH($B435,'Intervals'!$A$4:$A$33,0))),""),""))</f>
        <v/>
      </c>
      <c r="G435" s="20">
        <f>IF(OR($B435="",$D435=""),"",IFERROR(IF(AND(INDEX('Intervals'!$G$4:$G$33,MATCH($B435,'Intervals'!$A$4:$A$33,0))&lt;&gt;"No",N(INDEX('Intervals'!$D$4:$D$33,MATCH($B435,'Intervals'!$A$4:$A$33,0)))&gt;0),EDATE($D435,N(INDEX('Intervals'!$D$4:$D$33,MATCH($B435,'Intervals'!$A$4:$A$33,0)))),""),""))</f>
        <v/>
      </c>
      <c r="H435" s="19">
        <f>IF($A435="","",IFERROR(IF(N(INDEX('Cars'!$H$4:$H$103,MATCH($A435,'Cars'!$A$4:$A$103,0)))&gt;0,INDEX('Cars'!$H$4:$H$103,MATCH($A435,'Cars'!$A$4:$A$103,0)),""),""))</f>
        <v/>
      </c>
      <c r="I435" s="19">
        <f>IF(OR($F435="",$H435=""),"",$F435-$H435)</f>
        <v/>
      </c>
      <c r="J435" s="21">
        <f>IF($G435="","",$G435-TODAY())</f>
        <v/>
      </c>
      <c r="K435" s="21">
        <f>IF($I435="","",IFERROR(IF(N(INDEX('Cars'!$J$4:$J$103,MATCH($A435,'Cars'!$A$4:$A$103,0)))&gt;0,ROUND($I435/INDEX('Cars'!$J$4:$J$103,MATCH($A435,'Cars'!$A$4:$A$103,0))*30,0),""),""))</f>
        <v/>
      </c>
      <c r="L435" s="21">
        <f>IF(AND($J435="",$K435=""),"",MIN(IF($J435="",99999,$J435),IF($K435="",99999,$K435)))</f>
        <v/>
      </c>
      <c r="M435" s="16">
        <f>IF(AND($I435="",$J435=""),"",IF(OR(AND($I435&lt;&gt;"",N($I435)&lt;0),AND($J435&lt;&gt;"",N($J435)&lt;0)),"Overdue",IF(OR(AND($I435&lt;&gt;"",N($I435)&lt;=IFERROR(INDEX('Intervals'!$E$4:$E$33,MATCH($B435,'Intervals'!$A$4:$A$33,0)),500)),AND($J435&lt;&gt;"",N($J435)&lt;=IFERROR(INDEX('Intervals'!$F$4:$F$33,MATCH($B435,'Intervals'!$A$4:$A$33,0)),14))),"Due soon","OK")))</f>
        <v/>
      </c>
      <c r="N435" s="15" t="n"/>
      <c r="O435" s="22">
        <f>IF(OR($M435="",$M435="OK"),"",$L435+ROW()/100000)</f>
        <v/>
      </c>
    </row>
    <row r="436">
      <c r="A436" s="15" t="n"/>
      <c r="B436" s="15" t="n"/>
      <c r="C436" s="16">
        <f>IF($B436="","",IFERROR(INDEX('Intervals'!$B$4:$B$33,MATCH($B436,'Intervals'!$A$4:$A$33,0)),""))</f>
        <v/>
      </c>
      <c r="D436" s="17" t="n"/>
      <c r="E436" s="18" t="n"/>
      <c r="F436" s="19">
        <f>IF(OR($B436="",$E436=""),"",IFERROR(IF(AND(INDEX('Intervals'!$G$4:$G$33,MATCH($B436,'Intervals'!$A$4:$A$33,0))&lt;&gt;"No",N(INDEX('Intervals'!$C$4:$C$33,MATCH($B436,'Intervals'!$A$4:$A$33,0)))&gt;0),$E436+N(INDEX('Intervals'!$C$4:$C$33,MATCH($B436,'Intervals'!$A$4:$A$33,0))),""),""))</f>
        <v/>
      </c>
      <c r="G436" s="20">
        <f>IF(OR($B436="",$D436=""),"",IFERROR(IF(AND(INDEX('Intervals'!$G$4:$G$33,MATCH($B436,'Intervals'!$A$4:$A$33,0))&lt;&gt;"No",N(INDEX('Intervals'!$D$4:$D$33,MATCH($B436,'Intervals'!$A$4:$A$33,0)))&gt;0),EDATE($D436,N(INDEX('Intervals'!$D$4:$D$33,MATCH($B436,'Intervals'!$A$4:$A$33,0)))),""),""))</f>
        <v/>
      </c>
      <c r="H436" s="19">
        <f>IF($A436="","",IFERROR(IF(N(INDEX('Cars'!$H$4:$H$103,MATCH($A436,'Cars'!$A$4:$A$103,0)))&gt;0,INDEX('Cars'!$H$4:$H$103,MATCH($A436,'Cars'!$A$4:$A$103,0)),""),""))</f>
        <v/>
      </c>
      <c r="I436" s="19">
        <f>IF(OR($F436="",$H436=""),"",$F436-$H436)</f>
        <v/>
      </c>
      <c r="J436" s="21">
        <f>IF($G436="","",$G436-TODAY())</f>
        <v/>
      </c>
      <c r="K436" s="21">
        <f>IF($I436="","",IFERROR(IF(N(INDEX('Cars'!$J$4:$J$103,MATCH($A436,'Cars'!$A$4:$A$103,0)))&gt;0,ROUND($I436/INDEX('Cars'!$J$4:$J$103,MATCH($A436,'Cars'!$A$4:$A$103,0))*30,0),""),""))</f>
        <v/>
      </c>
      <c r="L436" s="21">
        <f>IF(AND($J436="",$K436=""),"",MIN(IF($J436="",99999,$J436),IF($K436="",99999,$K436)))</f>
        <v/>
      </c>
      <c r="M436" s="16">
        <f>IF(AND($I436="",$J436=""),"",IF(OR(AND($I436&lt;&gt;"",N($I436)&lt;0),AND($J436&lt;&gt;"",N($J436)&lt;0)),"Overdue",IF(OR(AND($I436&lt;&gt;"",N($I436)&lt;=IFERROR(INDEX('Intervals'!$E$4:$E$33,MATCH($B436,'Intervals'!$A$4:$A$33,0)),500)),AND($J436&lt;&gt;"",N($J436)&lt;=IFERROR(INDEX('Intervals'!$F$4:$F$33,MATCH($B436,'Intervals'!$A$4:$A$33,0)),14))),"Due soon","OK")))</f>
        <v/>
      </c>
      <c r="N436" s="15" t="n"/>
      <c r="O436" s="22">
        <f>IF(OR($M436="",$M436="OK"),"",$L436+ROW()/100000)</f>
        <v/>
      </c>
    </row>
    <row r="437">
      <c r="A437" s="15" t="n"/>
      <c r="B437" s="15" t="n"/>
      <c r="C437" s="16">
        <f>IF($B437="","",IFERROR(INDEX('Intervals'!$B$4:$B$33,MATCH($B437,'Intervals'!$A$4:$A$33,0)),""))</f>
        <v/>
      </c>
      <c r="D437" s="17" t="n"/>
      <c r="E437" s="18" t="n"/>
      <c r="F437" s="19">
        <f>IF(OR($B437="",$E437=""),"",IFERROR(IF(AND(INDEX('Intervals'!$G$4:$G$33,MATCH($B437,'Intervals'!$A$4:$A$33,0))&lt;&gt;"No",N(INDEX('Intervals'!$C$4:$C$33,MATCH($B437,'Intervals'!$A$4:$A$33,0)))&gt;0),$E437+N(INDEX('Intervals'!$C$4:$C$33,MATCH($B437,'Intervals'!$A$4:$A$33,0))),""),""))</f>
        <v/>
      </c>
      <c r="G437" s="20">
        <f>IF(OR($B437="",$D437=""),"",IFERROR(IF(AND(INDEX('Intervals'!$G$4:$G$33,MATCH($B437,'Intervals'!$A$4:$A$33,0))&lt;&gt;"No",N(INDEX('Intervals'!$D$4:$D$33,MATCH($B437,'Intervals'!$A$4:$A$33,0)))&gt;0),EDATE($D437,N(INDEX('Intervals'!$D$4:$D$33,MATCH($B437,'Intervals'!$A$4:$A$33,0)))),""),""))</f>
        <v/>
      </c>
      <c r="H437" s="19">
        <f>IF($A437="","",IFERROR(IF(N(INDEX('Cars'!$H$4:$H$103,MATCH($A437,'Cars'!$A$4:$A$103,0)))&gt;0,INDEX('Cars'!$H$4:$H$103,MATCH($A437,'Cars'!$A$4:$A$103,0)),""),""))</f>
        <v/>
      </c>
      <c r="I437" s="19">
        <f>IF(OR($F437="",$H437=""),"",$F437-$H437)</f>
        <v/>
      </c>
      <c r="J437" s="21">
        <f>IF($G437="","",$G437-TODAY())</f>
        <v/>
      </c>
      <c r="K437" s="21">
        <f>IF($I437="","",IFERROR(IF(N(INDEX('Cars'!$J$4:$J$103,MATCH($A437,'Cars'!$A$4:$A$103,0)))&gt;0,ROUND($I437/INDEX('Cars'!$J$4:$J$103,MATCH($A437,'Cars'!$A$4:$A$103,0))*30,0),""),""))</f>
        <v/>
      </c>
      <c r="L437" s="21">
        <f>IF(AND($J437="",$K437=""),"",MIN(IF($J437="",99999,$J437),IF($K437="",99999,$K437)))</f>
        <v/>
      </c>
      <c r="M437" s="16">
        <f>IF(AND($I437="",$J437=""),"",IF(OR(AND($I437&lt;&gt;"",N($I437)&lt;0),AND($J437&lt;&gt;"",N($J437)&lt;0)),"Overdue",IF(OR(AND($I437&lt;&gt;"",N($I437)&lt;=IFERROR(INDEX('Intervals'!$E$4:$E$33,MATCH($B437,'Intervals'!$A$4:$A$33,0)),500)),AND($J437&lt;&gt;"",N($J437)&lt;=IFERROR(INDEX('Intervals'!$F$4:$F$33,MATCH($B437,'Intervals'!$A$4:$A$33,0)),14))),"Due soon","OK")))</f>
        <v/>
      </c>
      <c r="N437" s="15" t="n"/>
      <c r="O437" s="22">
        <f>IF(OR($M437="",$M437="OK"),"",$L437+ROW()/100000)</f>
        <v/>
      </c>
    </row>
    <row r="438">
      <c r="A438" s="15" t="n"/>
      <c r="B438" s="15" t="n"/>
      <c r="C438" s="16">
        <f>IF($B438="","",IFERROR(INDEX('Intervals'!$B$4:$B$33,MATCH($B438,'Intervals'!$A$4:$A$33,0)),""))</f>
        <v/>
      </c>
      <c r="D438" s="17" t="n"/>
      <c r="E438" s="18" t="n"/>
      <c r="F438" s="19">
        <f>IF(OR($B438="",$E438=""),"",IFERROR(IF(AND(INDEX('Intervals'!$G$4:$G$33,MATCH($B438,'Intervals'!$A$4:$A$33,0))&lt;&gt;"No",N(INDEX('Intervals'!$C$4:$C$33,MATCH($B438,'Intervals'!$A$4:$A$33,0)))&gt;0),$E438+N(INDEX('Intervals'!$C$4:$C$33,MATCH($B438,'Intervals'!$A$4:$A$33,0))),""),""))</f>
        <v/>
      </c>
      <c r="G438" s="20">
        <f>IF(OR($B438="",$D438=""),"",IFERROR(IF(AND(INDEX('Intervals'!$G$4:$G$33,MATCH($B438,'Intervals'!$A$4:$A$33,0))&lt;&gt;"No",N(INDEX('Intervals'!$D$4:$D$33,MATCH($B438,'Intervals'!$A$4:$A$33,0)))&gt;0),EDATE($D438,N(INDEX('Intervals'!$D$4:$D$33,MATCH($B438,'Intervals'!$A$4:$A$33,0)))),""),""))</f>
        <v/>
      </c>
      <c r="H438" s="19">
        <f>IF($A438="","",IFERROR(IF(N(INDEX('Cars'!$H$4:$H$103,MATCH($A438,'Cars'!$A$4:$A$103,0)))&gt;0,INDEX('Cars'!$H$4:$H$103,MATCH($A438,'Cars'!$A$4:$A$103,0)),""),""))</f>
        <v/>
      </c>
      <c r="I438" s="19">
        <f>IF(OR($F438="",$H438=""),"",$F438-$H438)</f>
        <v/>
      </c>
      <c r="J438" s="21">
        <f>IF($G438="","",$G438-TODAY())</f>
        <v/>
      </c>
      <c r="K438" s="21">
        <f>IF($I438="","",IFERROR(IF(N(INDEX('Cars'!$J$4:$J$103,MATCH($A438,'Cars'!$A$4:$A$103,0)))&gt;0,ROUND($I438/INDEX('Cars'!$J$4:$J$103,MATCH($A438,'Cars'!$A$4:$A$103,0))*30,0),""),""))</f>
        <v/>
      </c>
      <c r="L438" s="21">
        <f>IF(AND($J438="",$K438=""),"",MIN(IF($J438="",99999,$J438),IF($K438="",99999,$K438)))</f>
        <v/>
      </c>
      <c r="M438" s="16">
        <f>IF(AND($I438="",$J438=""),"",IF(OR(AND($I438&lt;&gt;"",N($I438)&lt;0),AND($J438&lt;&gt;"",N($J438)&lt;0)),"Overdue",IF(OR(AND($I438&lt;&gt;"",N($I438)&lt;=IFERROR(INDEX('Intervals'!$E$4:$E$33,MATCH($B438,'Intervals'!$A$4:$A$33,0)),500)),AND($J438&lt;&gt;"",N($J438)&lt;=IFERROR(INDEX('Intervals'!$F$4:$F$33,MATCH($B438,'Intervals'!$A$4:$A$33,0)),14))),"Due soon","OK")))</f>
        <v/>
      </c>
      <c r="N438" s="15" t="n"/>
      <c r="O438" s="22">
        <f>IF(OR($M438="",$M438="OK"),"",$L438+ROW()/100000)</f>
        <v/>
      </c>
    </row>
    <row r="439">
      <c r="A439" s="15" t="n"/>
      <c r="B439" s="15" t="n"/>
      <c r="C439" s="16">
        <f>IF($B439="","",IFERROR(INDEX('Intervals'!$B$4:$B$33,MATCH($B439,'Intervals'!$A$4:$A$33,0)),""))</f>
        <v/>
      </c>
      <c r="D439" s="17" t="n"/>
      <c r="E439" s="18" t="n"/>
      <c r="F439" s="19">
        <f>IF(OR($B439="",$E439=""),"",IFERROR(IF(AND(INDEX('Intervals'!$G$4:$G$33,MATCH($B439,'Intervals'!$A$4:$A$33,0))&lt;&gt;"No",N(INDEX('Intervals'!$C$4:$C$33,MATCH($B439,'Intervals'!$A$4:$A$33,0)))&gt;0),$E439+N(INDEX('Intervals'!$C$4:$C$33,MATCH($B439,'Intervals'!$A$4:$A$33,0))),""),""))</f>
        <v/>
      </c>
      <c r="G439" s="20">
        <f>IF(OR($B439="",$D439=""),"",IFERROR(IF(AND(INDEX('Intervals'!$G$4:$G$33,MATCH($B439,'Intervals'!$A$4:$A$33,0))&lt;&gt;"No",N(INDEX('Intervals'!$D$4:$D$33,MATCH($B439,'Intervals'!$A$4:$A$33,0)))&gt;0),EDATE($D439,N(INDEX('Intervals'!$D$4:$D$33,MATCH($B439,'Intervals'!$A$4:$A$33,0)))),""),""))</f>
        <v/>
      </c>
      <c r="H439" s="19">
        <f>IF($A439="","",IFERROR(IF(N(INDEX('Cars'!$H$4:$H$103,MATCH($A439,'Cars'!$A$4:$A$103,0)))&gt;0,INDEX('Cars'!$H$4:$H$103,MATCH($A439,'Cars'!$A$4:$A$103,0)),""),""))</f>
        <v/>
      </c>
      <c r="I439" s="19">
        <f>IF(OR($F439="",$H439=""),"",$F439-$H439)</f>
        <v/>
      </c>
      <c r="J439" s="21">
        <f>IF($G439="","",$G439-TODAY())</f>
        <v/>
      </c>
      <c r="K439" s="21">
        <f>IF($I439="","",IFERROR(IF(N(INDEX('Cars'!$J$4:$J$103,MATCH($A439,'Cars'!$A$4:$A$103,0)))&gt;0,ROUND($I439/INDEX('Cars'!$J$4:$J$103,MATCH($A439,'Cars'!$A$4:$A$103,0))*30,0),""),""))</f>
        <v/>
      </c>
      <c r="L439" s="21">
        <f>IF(AND($J439="",$K439=""),"",MIN(IF($J439="",99999,$J439),IF($K439="",99999,$K439)))</f>
        <v/>
      </c>
      <c r="M439" s="16">
        <f>IF(AND($I439="",$J439=""),"",IF(OR(AND($I439&lt;&gt;"",N($I439)&lt;0),AND($J439&lt;&gt;"",N($J439)&lt;0)),"Overdue",IF(OR(AND($I439&lt;&gt;"",N($I439)&lt;=IFERROR(INDEX('Intervals'!$E$4:$E$33,MATCH($B439,'Intervals'!$A$4:$A$33,0)),500)),AND($J439&lt;&gt;"",N($J439)&lt;=IFERROR(INDEX('Intervals'!$F$4:$F$33,MATCH($B439,'Intervals'!$A$4:$A$33,0)),14))),"Due soon","OK")))</f>
        <v/>
      </c>
      <c r="N439" s="15" t="n"/>
      <c r="O439" s="22">
        <f>IF(OR($M439="",$M439="OK"),"",$L439+ROW()/100000)</f>
        <v/>
      </c>
    </row>
    <row r="440">
      <c r="A440" s="15" t="n"/>
      <c r="B440" s="15" t="n"/>
      <c r="C440" s="16">
        <f>IF($B440="","",IFERROR(INDEX('Intervals'!$B$4:$B$33,MATCH($B440,'Intervals'!$A$4:$A$33,0)),""))</f>
        <v/>
      </c>
      <c r="D440" s="17" t="n"/>
      <c r="E440" s="18" t="n"/>
      <c r="F440" s="19">
        <f>IF(OR($B440="",$E440=""),"",IFERROR(IF(AND(INDEX('Intervals'!$G$4:$G$33,MATCH($B440,'Intervals'!$A$4:$A$33,0))&lt;&gt;"No",N(INDEX('Intervals'!$C$4:$C$33,MATCH($B440,'Intervals'!$A$4:$A$33,0)))&gt;0),$E440+N(INDEX('Intervals'!$C$4:$C$33,MATCH($B440,'Intervals'!$A$4:$A$33,0))),""),""))</f>
        <v/>
      </c>
      <c r="G440" s="20">
        <f>IF(OR($B440="",$D440=""),"",IFERROR(IF(AND(INDEX('Intervals'!$G$4:$G$33,MATCH($B440,'Intervals'!$A$4:$A$33,0))&lt;&gt;"No",N(INDEX('Intervals'!$D$4:$D$33,MATCH($B440,'Intervals'!$A$4:$A$33,0)))&gt;0),EDATE($D440,N(INDEX('Intervals'!$D$4:$D$33,MATCH($B440,'Intervals'!$A$4:$A$33,0)))),""),""))</f>
        <v/>
      </c>
      <c r="H440" s="19">
        <f>IF($A440="","",IFERROR(IF(N(INDEX('Cars'!$H$4:$H$103,MATCH($A440,'Cars'!$A$4:$A$103,0)))&gt;0,INDEX('Cars'!$H$4:$H$103,MATCH($A440,'Cars'!$A$4:$A$103,0)),""),""))</f>
        <v/>
      </c>
      <c r="I440" s="19">
        <f>IF(OR($F440="",$H440=""),"",$F440-$H440)</f>
        <v/>
      </c>
      <c r="J440" s="21">
        <f>IF($G440="","",$G440-TODAY())</f>
        <v/>
      </c>
      <c r="K440" s="21">
        <f>IF($I440="","",IFERROR(IF(N(INDEX('Cars'!$J$4:$J$103,MATCH($A440,'Cars'!$A$4:$A$103,0)))&gt;0,ROUND($I440/INDEX('Cars'!$J$4:$J$103,MATCH($A440,'Cars'!$A$4:$A$103,0))*30,0),""),""))</f>
        <v/>
      </c>
      <c r="L440" s="21">
        <f>IF(AND($J440="",$K440=""),"",MIN(IF($J440="",99999,$J440),IF($K440="",99999,$K440)))</f>
        <v/>
      </c>
      <c r="M440" s="16">
        <f>IF(AND($I440="",$J440=""),"",IF(OR(AND($I440&lt;&gt;"",N($I440)&lt;0),AND($J440&lt;&gt;"",N($J440)&lt;0)),"Overdue",IF(OR(AND($I440&lt;&gt;"",N($I440)&lt;=IFERROR(INDEX('Intervals'!$E$4:$E$33,MATCH($B440,'Intervals'!$A$4:$A$33,0)),500)),AND($J440&lt;&gt;"",N($J440)&lt;=IFERROR(INDEX('Intervals'!$F$4:$F$33,MATCH($B440,'Intervals'!$A$4:$A$33,0)),14))),"Due soon","OK")))</f>
        <v/>
      </c>
      <c r="N440" s="15" t="n"/>
      <c r="O440" s="22">
        <f>IF(OR($M440="",$M440="OK"),"",$L440+ROW()/100000)</f>
        <v/>
      </c>
    </row>
    <row r="441">
      <c r="A441" s="15" t="n"/>
      <c r="B441" s="15" t="n"/>
      <c r="C441" s="16">
        <f>IF($B441="","",IFERROR(INDEX('Intervals'!$B$4:$B$33,MATCH($B441,'Intervals'!$A$4:$A$33,0)),""))</f>
        <v/>
      </c>
      <c r="D441" s="17" t="n"/>
      <c r="E441" s="18" t="n"/>
      <c r="F441" s="19">
        <f>IF(OR($B441="",$E441=""),"",IFERROR(IF(AND(INDEX('Intervals'!$G$4:$G$33,MATCH($B441,'Intervals'!$A$4:$A$33,0))&lt;&gt;"No",N(INDEX('Intervals'!$C$4:$C$33,MATCH($B441,'Intervals'!$A$4:$A$33,0)))&gt;0),$E441+N(INDEX('Intervals'!$C$4:$C$33,MATCH($B441,'Intervals'!$A$4:$A$33,0))),""),""))</f>
        <v/>
      </c>
      <c r="G441" s="20">
        <f>IF(OR($B441="",$D441=""),"",IFERROR(IF(AND(INDEX('Intervals'!$G$4:$G$33,MATCH($B441,'Intervals'!$A$4:$A$33,0))&lt;&gt;"No",N(INDEX('Intervals'!$D$4:$D$33,MATCH($B441,'Intervals'!$A$4:$A$33,0)))&gt;0),EDATE($D441,N(INDEX('Intervals'!$D$4:$D$33,MATCH($B441,'Intervals'!$A$4:$A$33,0)))),""),""))</f>
        <v/>
      </c>
      <c r="H441" s="19">
        <f>IF($A441="","",IFERROR(IF(N(INDEX('Cars'!$H$4:$H$103,MATCH($A441,'Cars'!$A$4:$A$103,0)))&gt;0,INDEX('Cars'!$H$4:$H$103,MATCH($A441,'Cars'!$A$4:$A$103,0)),""),""))</f>
        <v/>
      </c>
      <c r="I441" s="19">
        <f>IF(OR($F441="",$H441=""),"",$F441-$H441)</f>
        <v/>
      </c>
      <c r="J441" s="21">
        <f>IF($G441="","",$G441-TODAY())</f>
        <v/>
      </c>
      <c r="K441" s="21">
        <f>IF($I441="","",IFERROR(IF(N(INDEX('Cars'!$J$4:$J$103,MATCH($A441,'Cars'!$A$4:$A$103,0)))&gt;0,ROUND($I441/INDEX('Cars'!$J$4:$J$103,MATCH($A441,'Cars'!$A$4:$A$103,0))*30,0),""),""))</f>
        <v/>
      </c>
      <c r="L441" s="21">
        <f>IF(AND($J441="",$K441=""),"",MIN(IF($J441="",99999,$J441),IF($K441="",99999,$K441)))</f>
        <v/>
      </c>
      <c r="M441" s="16">
        <f>IF(AND($I441="",$J441=""),"",IF(OR(AND($I441&lt;&gt;"",N($I441)&lt;0),AND($J441&lt;&gt;"",N($J441)&lt;0)),"Overdue",IF(OR(AND($I441&lt;&gt;"",N($I441)&lt;=IFERROR(INDEX('Intervals'!$E$4:$E$33,MATCH($B441,'Intervals'!$A$4:$A$33,0)),500)),AND($J441&lt;&gt;"",N($J441)&lt;=IFERROR(INDEX('Intervals'!$F$4:$F$33,MATCH($B441,'Intervals'!$A$4:$A$33,0)),14))),"Due soon","OK")))</f>
        <v/>
      </c>
      <c r="N441" s="15" t="n"/>
      <c r="O441" s="22">
        <f>IF(OR($M441="",$M441="OK"),"",$L441+ROW()/100000)</f>
        <v/>
      </c>
    </row>
    <row r="442">
      <c r="A442" s="15" t="n"/>
      <c r="B442" s="15" t="n"/>
      <c r="C442" s="16">
        <f>IF($B442="","",IFERROR(INDEX('Intervals'!$B$4:$B$33,MATCH($B442,'Intervals'!$A$4:$A$33,0)),""))</f>
        <v/>
      </c>
      <c r="D442" s="17" t="n"/>
      <c r="E442" s="18" t="n"/>
      <c r="F442" s="19">
        <f>IF(OR($B442="",$E442=""),"",IFERROR(IF(AND(INDEX('Intervals'!$G$4:$G$33,MATCH($B442,'Intervals'!$A$4:$A$33,0))&lt;&gt;"No",N(INDEX('Intervals'!$C$4:$C$33,MATCH($B442,'Intervals'!$A$4:$A$33,0)))&gt;0),$E442+N(INDEX('Intervals'!$C$4:$C$33,MATCH($B442,'Intervals'!$A$4:$A$33,0))),""),""))</f>
        <v/>
      </c>
      <c r="G442" s="20">
        <f>IF(OR($B442="",$D442=""),"",IFERROR(IF(AND(INDEX('Intervals'!$G$4:$G$33,MATCH($B442,'Intervals'!$A$4:$A$33,0))&lt;&gt;"No",N(INDEX('Intervals'!$D$4:$D$33,MATCH($B442,'Intervals'!$A$4:$A$33,0)))&gt;0),EDATE($D442,N(INDEX('Intervals'!$D$4:$D$33,MATCH($B442,'Intervals'!$A$4:$A$33,0)))),""),""))</f>
        <v/>
      </c>
      <c r="H442" s="19">
        <f>IF($A442="","",IFERROR(IF(N(INDEX('Cars'!$H$4:$H$103,MATCH($A442,'Cars'!$A$4:$A$103,0)))&gt;0,INDEX('Cars'!$H$4:$H$103,MATCH($A442,'Cars'!$A$4:$A$103,0)),""),""))</f>
        <v/>
      </c>
      <c r="I442" s="19">
        <f>IF(OR($F442="",$H442=""),"",$F442-$H442)</f>
        <v/>
      </c>
      <c r="J442" s="21">
        <f>IF($G442="","",$G442-TODAY())</f>
        <v/>
      </c>
      <c r="K442" s="21">
        <f>IF($I442="","",IFERROR(IF(N(INDEX('Cars'!$J$4:$J$103,MATCH($A442,'Cars'!$A$4:$A$103,0)))&gt;0,ROUND($I442/INDEX('Cars'!$J$4:$J$103,MATCH($A442,'Cars'!$A$4:$A$103,0))*30,0),""),""))</f>
        <v/>
      </c>
      <c r="L442" s="21">
        <f>IF(AND($J442="",$K442=""),"",MIN(IF($J442="",99999,$J442),IF($K442="",99999,$K442)))</f>
        <v/>
      </c>
      <c r="M442" s="16">
        <f>IF(AND($I442="",$J442=""),"",IF(OR(AND($I442&lt;&gt;"",N($I442)&lt;0),AND($J442&lt;&gt;"",N($J442)&lt;0)),"Overdue",IF(OR(AND($I442&lt;&gt;"",N($I442)&lt;=IFERROR(INDEX('Intervals'!$E$4:$E$33,MATCH($B442,'Intervals'!$A$4:$A$33,0)),500)),AND($J442&lt;&gt;"",N($J442)&lt;=IFERROR(INDEX('Intervals'!$F$4:$F$33,MATCH($B442,'Intervals'!$A$4:$A$33,0)),14))),"Due soon","OK")))</f>
        <v/>
      </c>
      <c r="N442" s="15" t="n"/>
      <c r="O442" s="22">
        <f>IF(OR($M442="",$M442="OK"),"",$L442+ROW()/100000)</f>
        <v/>
      </c>
    </row>
    <row r="443">
      <c r="A443" s="15" t="n"/>
      <c r="B443" s="15" t="n"/>
      <c r="C443" s="16">
        <f>IF($B443="","",IFERROR(INDEX('Intervals'!$B$4:$B$33,MATCH($B443,'Intervals'!$A$4:$A$33,0)),""))</f>
        <v/>
      </c>
      <c r="D443" s="17" t="n"/>
      <c r="E443" s="18" t="n"/>
      <c r="F443" s="19">
        <f>IF(OR($B443="",$E443=""),"",IFERROR(IF(AND(INDEX('Intervals'!$G$4:$G$33,MATCH($B443,'Intervals'!$A$4:$A$33,0))&lt;&gt;"No",N(INDEX('Intervals'!$C$4:$C$33,MATCH($B443,'Intervals'!$A$4:$A$33,0)))&gt;0),$E443+N(INDEX('Intervals'!$C$4:$C$33,MATCH($B443,'Intervals'!$A$4:$A$33,0))),""),""))</f>
        <v/>
      </c>
      <c r="G443" s="20">
        <f>IF(OR($B443="",$D443=""),"",IFERROR(IF(AND(INDEX('Intervals'!$G$4:$G$33,MATCH($B443,'Intervals'!$A$4:$A$33,0))&lt;&gt;"No",N(INDEX('Intervals'!$D$4:$D$33,MATCH($B443,'Intervals'!$A$4:$A$33,0)))&gt;0),EDATE($D443,N(INDEX('Intervals'!$D$4:$D$33,MATCH($B443,'Intervals'!$A$4:$A$33,0)))),""),""))</f>
        <v/>
      </c>
      <c r="H443" s="19">
        <f>IF($A443="","",IFERROR(IF(N(INDEX('Cars'!$H$4:$H$103,MATCH($A443,'Cars'!$A$4:$A$103,0)))&gt;0,INDEX('Cars'!$H$4:$H$103,MATCH($A443,'Cars'!$A$4:$A$103,0)),""),""))</f>
        <v/>
      </c>
      <c r="I443" s="19">
        <f>IF(OR($F443="",$H443=""),"",$F443-$H443)</f>
        <v/>
      </c>
      <c r="J443" s="21">
        <f>IF($G443="","",$G443-TODAY())</f>
        <v/>
      </c>
      <c r="K443" s="21">
        <f>IF($I443="","",IFERROR(IF(N(INDEX('Cars'!$J$4:$J$103,MATCH($A443,'Cars'!$A$4:$A$103,0)))&gt;0,ROUND($I443/INDEX('Cars'!$J$4:$J$103,MATCH($A443,'Cars'!$A$4:$A$103,0))*30,0),""),""))</f>
        <v/>
      </c>
      <c r="L443" s="21">
        <f>IF(AND($J443="",$K443=""),"",MIN(IF($J443="",99999,$J443),IF($K443="",99999,$K443)))</f>
        <v/>
      </c>
      <c r="M443" s="16">
        <f>IF(AND($I443="",$J443=""),"",IF(OR(AND($I443&lt;&gt;"",N($I443)&lt;0),AND($J443&lt;&gt;"",N($J443)&lt;0)),"Overdue",IF(OR(AND($I443&lt;&gt;"",N($I443)&lt;=IFERROR(INDEX('Intervals'!$E$4:$E$33,MATCH($B443,'Intervals'!$A$4:$A$33,0)),500)),AND($J443&lt;&gt;"",N($J443)&lt;=IFERROR(INDEX('Intervals'!$F$4:$F$33,MATCH($B443,'Intervals'!$A$4:$A$33,0)),14))),"Due soon","OK")))</f>
        <v/>
      </c>
      <c r="N443" s="15" t="n"/>
      <c r="O443" s="22">
        <f>IF(OR($M443="",$M443="OK"),"",$L443+ROW()/100000)</f>
        <v/>
      </c>
    </row>
    <row r="444">
      <c r="A444" s="15" t="n"/>
      <c r="B444" s="15" t="n"/>
      <c r="C444" s="16">
        <f>IF($B444="","",IFERROR(INDEX('Intervals'!$B$4:$B$33,MATCH($B444,'Intervals'!$A$4:$A$33,0)),""))</f>
        <v/>
      </c>
      <c r="D444" s="17" t="n"/>
      <c r="E444" s="18" t="n"/>
      <c r="F444" s="19">
        <f>IF(OR($B444="",$E444=""),"",IFERROR(IF(AND(INDEX('Intervals'!$G$4:$G$33,MATCH($B444,'Intervals'!$A$4:$A$33,0))&lt;&gt;"No",N(INDEX('Intervals'!$C$4:$C$33,MATCH($B444,'Intervals'!$A$4:$A$33,0)))&gt;0),$E444+N(INDEX('Intervals'!$C$4:$C$33,MATCH($B444,'Intervals'!$A$4:$A$33,0))),""),""))</f>
        <v/>
      </c>
      <c r="G444" s="20">
        <f>IF(OR($B444="",$D444=""),"",IFERROR(IF(AND(INDEX('Intervals'!$G$4:$G$33,MATCH($B444,'Intervals'!$A$4:$A$33,0))&lt;&gt;"No",N(INDEX('Intervals'!$D$4:$D$33,MATCH($B444,'Intervals'!$A$4:$A$33,0)))&gt;0),EDATE($D444,N(INDEX('Intervals'!$D$4:$D$33,MATCH($B444,'Intervals'!$A$4:$A$33,0)))),""),""))</f>
        <v/>
      </c>
      <c r="H444" s="19">
        <f>IF($A444="","",IFERROR(IF(N(INDEX('Cars'!$H$4:$H$103,MATCH($A444,'Cars'!$A$4:$A$103,0)))&gt;0,INDEX('Cars'!$H$4:$H$103,MATCH($A444,'Cars'!$A$4:$A$103,0)),""),""))</f>
        <v/>
      </c>
      <c r="I444" s="19">
        <f>IF(OR($F444="",$H444=""),"",$F444-$H444)</f>
        <v/>
      </c>
      <c r="J444" s="21">
        <f>IF($G444="","",$G444-TODAY())</f>
        <v/>
      </c>
      <c r="K444" s="21">
        <f>IF($I444="","",IFERROR(IF(N(INDEX('Cars'!$J$4:$J$103,MATCH($A444,'Cars'!$A$4:$A$103,0)))&gt;0,ROUND($I444/INDEX('Cars'!$J$4:$J$103,MATCH($A444,'Cars'!$A$4:$A$103,0))*30,0),""),""))</f>
        <v/>
      </c>
      <c r="L444" s="21">
        <f>IF(AND($J444="",$K444=""),"",MIN(IF($J444="",99999,$J444),IF($K444="",99999,$K444)))</f>
        <v/>
      </c>
      <c r="M444" s="16">
        <f>IF(AND($I444="",$J444=""),"",IF(OR(AND($I444&lt;&gt;"",N($I444)&lt;0),AND($J444&lt;&gt;"",N($J444)&lt;0)),"Overdue",IF(OR(AND($I444&lt;&gt;"",N($I444)&lt;=IFERROR(INDEX('Intervals'!$E$4:$E$33,MATCH($B444,'Intervals'!$A$4:$A$33,0)),500)),AND($J444&lt;&gt;"",N($J444)&lt;=IFERROR(INDEX('Intervals'!$F$4:$F$33,MATCH($B444,'Intervals'!$A$4:$A$33,0)),14))),"Due soon","OK")))</f>
        <v/>
      </c>
      <c r="N444" s="15" t="n"/>
      <c r="O444" s="22">
        <f>IF(OR($M444="",$M444="OK"),"",$L444+ROW()/100000)</f>
        <v/>
      </c>
    </row>
    <row r="445">
      <c r="A445" s="15" t="n"/>
      <c r="B445" s="15" t="n"/>
      <c r="C445" s="16">
        <f>IF($B445="","",IFERROR(INDEX('Intervals'!$B$4:$B$33,MATCH($B445,'Intervals'!$A$4:$A$33,0)),""))</f>
        <v/>
      </c>
      <c r="D445" s="17" t="n"/>
      <c r="E445" s="18" t="n"/>
      <c r="F445" s="19">
        <f>IF(OR($B445="",$E445=""),"",IFERROR(IF(AND(INDEX('Intervals'!$G$4:$G$33,MATCH($B445,'Intervals'!$A$4:$A$33,0))&lt;&gt;"No",N(INDEX('Intervals'!$C$4:$C$33,MATCH($B445,'Intervals'!$A$4:$A$33,0)))&gt;0),$E445+N(INDEX('Intervals'!$C$4:$C$33,MATCH($B445,'Intervals'!$A$4:$A$33,0))),""),""))</f>
        <v/>
      </c>
      <c r="G445" s="20">
        <f>IF(OR($B445="",$D445=""),"",IFERROR(IF(AND(INDEX('Intervals'!$G$4:$G$33,MATCH($B445,'Intervals'!$A$4:$A$33,0))&lt;&gt;"No",N(INDEX('Intervals'!$D$4:$D$33,MATCH($B445,'Intervals'!$A$4:$A$33,0)))&gt;0),EDATE($D445,N(INDEX('Intervals'!$D$4:$D$33,MATCH($B445,'Intervals'!$A$4:$A$33,0)))),""),""))</f>
        <v/>
      </c>
      <c r="H445" s="19">
        <f>IF($A445="","",IFERROR(IF(N(INDEX('Cars'!$H$4:$H$103,MATCH($A445,'Cars'!$A$4:$A$103,0)))&gt;0,INDEX('Cars'!$H$4:$H$103,MATCH($A445,'Cars'!$A$4:$A$103,0)),""),""))</f>
        <v/>
      </c>
      <c r="I445" s="19">
        <f>IF(OR($F445="",$H445=""),"",$F445-$H445)</f>
        <v/>
      </c>
      <c r="J445" s="21">
        <f>IF($G445="","",$G445-TODAY())</f>
        <v/>
      </c>
      <c r="K445" s="21">
        <f>IF($I445="","",IFERROR(IF(N(INDEX('Cars'!$J$4:$J$103,MATCH($A445,'Cars'!$A$4:$A$103,0)))&gt;0,ROUND($I445/INDEX('Cars'!$J$4:$J$103,MATCH($A445,'Cars'!$A$4:$A$103,0))*30,0),""),""))</f>
        <v/>
      </c>
      <c r="L445" s="21">
        <f>IF(AND($J445="",$K445=""),"",MIN(IF($J445="",99999,$J445),IF($K445="",99999,$K445)))</f>
        <v/>
      </c>
      <c r="M445" s="16">
        <f>IF(AND($I445="",$J445=""),"",IF(OR(AND($I445&lt;&gt;"",N($I445)&lt;0),AND($J445&lt;&gt;"",N($J445)&lt;0)),"Overdue",IF(OR(AND($I445&lt;&gt;"",N($I445)&lt;=IFERROR(INDEX('Intervals'!$E$4:$E$33,MATCH($B445,'Intervals'!$A$4:$A$33,0)),500)),AND($J445&lt;&gt;"",N($J445)&lt;=IFERROR(INDEX('Intervals'!$F$4:$F$33,MATCH($B445,'Intervals'!$A$4:$A$33,0)),14))),"Due soon","OK")))</f>
        <v/>
      </c>
      <c r="N445" s="15" t="n"/>
      <c r="O445" s="22">
        <f>IF(OR($M445="",$M445="OK"),"",$L445+ROW()/100000)</f>
        <v/>
      </c>
    </row>
    <row r="446">
      <c r="A446" s="15" t="n"/>
      <c r="B446" s="15" t="n"/>
      <c r="C446" s="16">
        <f>IF($B446="","",IFERROR(INDEX('Intervals'!$B$4:$B$33,MATCH($B446,'Intervals'!$A$4:$A$33,0)),""))</f>
        <v/>
      </c>
      <c r="D446" s="17" t="n"/>
      <c r="E446" s="18" t="n"/>
      <c r="F446" s="19">
        <f>IF(OR($B446="",$E446=""),"",IFERROR(IF(AND(INDEX('Intervals'!$G$4:$G$33,MATCH($B446,'Intervals'!$A$4:$A$33,0))&lt;&gt;"No",N(INDEX('Intervals'!$C$4:$C$33,MATCH($B446,'Intervals'!$A$4:$A$33,0)))&gt;0),$E446+N(INDEX('Intervals'!$C$4:$C$33,MATCH($B446,'Intervals'!$A$4:$A$33,0))),""),""))</f>
        <v/>
      </c>
      <c r="G446" s="20">
        <f>IF(OR($B446="",$D446=""),"",IFERROR(IF(AND(INDEX('Intervals'!$G$4:$G$33,MATCH($B446,'Intervals'!$A$4:$A$33,0))&lt;&gt;"No",N(INDEX('Intervals'!$D$4:$D$33,MATCH($B446,'Intervals'!$A$4:$A$33,0)))&gt;0),EDATE($D446,N(INDEX('Intervals'!$D$4:$D$33,MATCH($B446,'Intervals'!$A$4:$A$33,0)))),""),""))</f>
        <v/>
      </c>
      <c r="H446" s="19">
        <f>IF($A446="","",IFERROR(IF(N(INDEX('Cars'!$H$4:$H$103,MATCH($A446,'Cars'!$A$4:$A$103,0)))&gt;0,INDEX('Cars'!$H$4:$H$103,MATCH($A446,'Cars'!$A$4:$A$103,0)),""),""))</f>
        <v/>
      </c>
      <c r="I446" s="19">
        <f>IF(OR($F446="",$H446=""),"",$F446-$H446)</f>
        <v/>
      </c>
      <c r="J446" s="21">
        <f>IF($G446="","",$G446-TODAY())</f>
        <v/>
      </c>
      <c r="K446" s="21">
        <f>IF($I446="","",IFERROR(IF(N(INDEX('Cars'!$J$4:$J$103,MATCH($A446,'Cars'!$A$4:$A$103,0)))&gt;0,ROUND($I446/INDEX('Cars'!$J$4:$J$103,MATCH($A446,'Cars'!$A$4:$A$103,0))*30,0),""),""))</f>
        <v/>
      </c>
      <c r="L446" s="21">
        <f>IF(AND($J446="",$K446=""),"",MIN(IF($J446="",99999,$J446),IF($K446="",99999,$K446)))</f>
        <v/>
      </c>
      <c r="M446" s="16">
        <f>IF(AND($I446="",$J446=""),"",IF(OR(AND($I446&lt;&gt;"",N($I446)&lt;0),AND($J446&lt;&gt;"",N($J446)&lt;0)),"Overdue",IF(OR(AND($I446&lt;&gt;"",N($I446)&lt;=IFERROR(INDEX('Intervals'!$E$4:$E$33,MATCH($B446,'Intervals'!$A$4:$A$33,0)),500)),AND($J446&lt;&gt;"",N($J446)&lt;=IFERROR(INDEX('Intervals'!$F$4:$F$33,MATCH($B446,'Intervals'!$A$4:$A$33,0)),14))),"Due soon","OK")))</f>
        <v/>
      </c>
      <c r="N446" s="15" t="n"/>
      <c r="O446" s="22">
        <f>IF(OR($M446="",$M446="OK"),"",$L446+ROW()/100000)</f>
        <v/>
      </c>
    </row>
    <row r="447">
      <c r="A447" s="15" t="n"/>
      <c r="B447" s="15" t="n"/>
      <c r="C447" s="16">
        <f>IF($B447="","",IFERROR(INDEX('Intervals'!$B$4:$B$33,MATCH($B447,'Intervals'!$A$4:$A$33,0)),""))</f>
        <v/>
      </c>
      <c r="D447" s="17" t="n"/>
      <c r="E447" s="18" t="n"/>
      <c r="F447" s="19">
        <f>IF(OR($B447="",$E447=""),"",IFERROR(IF(AND(INDEX('Intervals'!$G$4:$G$33,MATCH($B447,'Intervals'!$A$4:$A$33,0))&lt;&gt;"No",N(INDEX('Intervals'!$C$4:$C$33,MATCH($B447,'Intervals'!$A$4:$A$33,0)))&gt;0),$E447+N(INDEX('Intervals'!$C$4:$C$33,MATCH($B447,'Intervals'!$A$4:$A$33,0))),""),""))</f>
        <v/>
      </c>
      <c r="G447" s="20">
        <f>IF(OR($B447="",$D447=""),"",IFERROR(IF(AND(INDEX('Intervals'!$G$4:$G$33,MATCH($B447,'Intervals'!$A$4:$A$33,0))&lt;&gt;"No",N(INDEX('Intervals'!$D$4:$D$33,MATCH($B447,'Intervals'!$A$4:$A$33,0)))&gt;0),EDATE($D447,N(INDEX('Intervals'!$D$4:$D$33,MATCH($B447,'Intervals'!$A$4:$A$33,0)))),""),""))</f>
        <v/>
      </c>
      <c r="H447" s="19">
        <f>IF($A447="","",IFERROR(IF(N(INDEX('Cars'!$H$4:$H$103,MATCH($A447,'Cars'!$A$4:$A$103,0)))&gt;0,INDEX('Cars'!$H$4:$H$103,MATCH($A447,'Cars'!$A$4:$A$103,0)),""),""))</f>
        <v/>
      </c>
      <c r="I447" s="19">
        <f>IF(OR($F447="",$H447=""),"",$F447-$H447)</f>
        <v/>
      </c>
      <c r="J447" s="21">
        <f>IF($G447="","",$G447-TODAY())</f>
        <v/>
      </c>
      <c r="K447" s="21">
        <f>IF($I447="","",IFERROR(IF(N(INDEX('Cars'!$J$4:$J$103,MATCH($A447,'Cars'!$A$4:$A$103,0)))&gt;0,ROUND($I447/INDEX('Cars'!$J$4:$J$103,MATCH($A447,'Cars'!$A$4:$A$103,0))*30,0),""),""))</f>
        <v/>
      </c>
      <c r="L447" s="21">
        <f>IF(AND($J447="",$K447=""),"",MIN(IF($J447="",99999,$J447),IF($K447="",99999,$K447)))</f>
        <v/>
      </c>
      <c r="M447" s="16">
        <f>IF(AND($I447="",$J447=""),"",IF(OR(AND($I447&lt;&gt;"",N($I447)&lt;0),AND($J447&lt;&gt;"",N($J447)&lt;0)),"Overdue",IF(OR(AND($I447&lt;&gt;"",N($I447)&lt;=IFERROR(INDEX('Intervals'!$E$4:$E$33,MATCH($B447,'Intervals'!$A$4:$A$33,0)),500)),AND($J447&lt;&gt;"",N($J447)&lt;=IFERROR(INDEX('Intervals'!$F$4:$F$33,MATCH($B447,'Intervals'!$A$4:$A$33,0)),14))),"Due soon","OK")))</f>
        <v/>
      </c>
      <c r="N447" s="15" t="n"/>
      <c r="O447" s="22">
        <f>IF(OR($M447="",$M447="OK"),"",$L447+ROW()/100000)</f>
        <v/>
      </c>
    </row>
    <row r="448">
      <c r="A448" s="15" t="n"/>
      <c r="B448" s="15" t="n"/>
      <c r="C448" s="16">
        <f>IF($B448="","",IFERROR(INDEX('Intervals'!$B$4:$B$33,MATCH($B448,'Intervals'!$A$4:$A$33,0)),""))</f>
        <v/>
      </c>
      <c r="D448" s="17" t="n"/>
      <c r="E448" s="18" t="n"/>
      <c r="F448" s="19">
        <f>IF(OR($B448="",$E448=""),"",IFERROR(IF(AND(INDEX('Intervals'!$G$4:$G$33,MATCH($B448,'Intervals'!$A$4:$A$33,0))&lt;&gt;"No",N(INDEX('Intervals'!$C$4:$C$33,MATCH($B448,'Intervals'!$A$4:$A$33,0)))&gt;0),$E448+N(INDEX('Intervals'!$C$4:$C$33,MATCH($B448,'Intervals'!$A$4:$A$33,0))),""),""))</f>
        <v/>
      </c>
      <c r="G448" s="20">
        <f>IF(OR($B448="",$D448=""),"",IFERROR(IF(AND(INDEX('Intervals'!$G$4:$G$33,MATCH($B448,'Intervals'!$A$4:$A$33,0))&lt;&gt;"No",N(INDEX('Intervals'!$D$4:$D$33,MATCH($B448,'Intervals'!$A$4:$A$33,0)))&gt;0),EDATE($D448,N(INDEX('Intervals'!$D$4:$D$33,MATCH($B448,'Intervals'!$A$4:$A$33,0)))),""),""))</f>
        <v/>
      </c>
      <c r="H448" s="19">
        <f>IF($A448="","",IFERROR(IF(N(INDEX('Cars'!$H$4:$H$103,MATCH($A448,'Cars'!$A$4:$A$103,0)))&gt;0,INDEX('Cars'!$H$4:$H$103,MATCH($A448,'Cars'!$A$4:$A$103,0)),""),""))</f>
        <v/>
      </c>
      <c r="I448" s="19">
        <f>IF(OR($F448="",$H448=""),"",$F448-$H448)</f>
        <v/>
      </c>
      <c r="J448" s="21">
        <f>IF($G448="","",$G448-TODAY())</f>
        <v/>
      </c>
      <c r="K448" s="21">
        <f>IF($I448="","",IFERROR(IF(N(INDEX('Cars'!$J$4:$J$103,MATCH($A448,'Cars'!$A$4:$A$103,0)))&gt;0,ROUND($I448/INDEX('Cars'!$J$4:$J$103,MATCH($A448,'Cars'!$A$4:$A$103,0))*30,0),""),""))</f>
        <v/>
      </c>
      <c r="L448" s="21">
        <f>IF(AND($J448="",$K448=""),"",MIN(IF($J448="",99999,$J448),IF($K448="",99999,$K448)))</f>
        <v/>
      </c>
      <c r="M448" s="16">
        <f>IF(AND($I448="",$J448=""),"",IF(OR(AND($I448&lt;&gt;"",N($I448)&lt;0),AND($J448&lt;&gt;"",N($J448)&lt;0)),"Overdue",IF(OR(AND($I448&lt;&gt;"",N($I448)&lt;=IFERROR(INDEX('Intervals'!$E$4:$E$33,MATCH($B448,'Intervals'!$A$4:$A$33,0)),500)),AND($J448&lt;&gt;"",N($J448)&lt;=IFERROR(INDEX('Intervals'!$F$4:$F$33,MATCH($B448,'Intervals'!$A$4:$A$33,0)),14))),"Due soon","OK")))</f>
        <v/>
      </c>
      <c r="N448" s="15" t="n"/>
      <c r="O448" s="22">
        <f>IF(OR($M448="",$M448="OK"),"",$L448+ROW()/100000)</f>
        <v/>
      </c>
    </row>
    <row r="449">
      <c r="A449" s="15" t="n"/>
      <c r="B449" s="15" t="n"/>
      <c r="C449" s="16">
        <f>IF($B449="","",IFERROR(INDEX('Intervals'!$B$4:$B$33,MATCH($B449,'Intervals'!$A$4:$A$33,0)),""))</f>
        <v/>
      </c>
      <c r="D449" s="17" t="n"/>
      <c r="E449" s="18" t="n"/>
      <c r="F449" s="19">
        <f>IF(OR($B449="",$E449=""),"",IFERROR(IF(AND(INDEX('Intervals'!$G$4:$G$33,MATCH($B449,'Intervals'!$A$4:$A$33,0))&lt;&gt;"No",N(INDEX('Intervals'!$C$4:$C$33,MATCH($B449,'Intervals'!$A$4:$A$33,0)))&gt;0),$E449+N(INDEX('Intervals'!$C$4:$C$33,MATCH($B449,'Intervals'!$A$4:$A$33,0))),""),""))</f>
        <v/>
      </c>
      <c r="G449" s="20">
        <f>IF(OR($B449="",$D449=""),"",IFERROR(IF(AND(INDEX('Intervals'!$G$4:$G$33,MATCH($B449,'Intervals'!$A$4:$A$33,0))&lt;&gt;"No",N(INDEX('Intervals'!$D$4:$D$33,MATCH($B449,'Intervals'!$A$4:$A$33,0)))&gt;0),EDATE($D449,N(INDEX('Intervals'!$D$4:$D$33,MATCH($B449,'Intervals'!$A$4:$A$33,0)))),""),""))</f>
        <v/>
      </c>
      <c r="H449" s="19">
        <f>IF($A449="","",IFERROR(IF(N(INDEX('Cars'!$H$4:$H$103,MATCH($A449,'Cars'!$A$4:$A$103,0)))&gt;0,INDEX('Cars'!$H$4:$H$103,MATCH($A449,'Cars'!$A$4:$A$103,0)),""),""))</f>
        <v/>
      </c>
      <c r="I449" s="19">
        <f>IF(OR($F449="",$H449=""),"",$F449-$H449)</f>
        <v/>
      </c>
      <c r="J449" s="21">
        <f>IF($G449="","",$G449-TODAY())</f>
        <v/>
      </c>
      <c r="K449" s="21">
        <f>IF($I449="","",IFERROR(IF(N(INDEX('Cars'!$J$4:$J$103,MATCH($A449,'Cars'!$A$4:$A$103,0)))&gt;0,ROUND($I449/INDEX('Cars'!$J$4:$J$103,MATCH($A449,'Cars'!$A$4:$A$103,0))*30,0),""),""))</f>
        <v/>
      </c>
      <c r="L449" s="21">
        <f>IF(AND($J449="",$K449=""),"",MIN(IF($J449="",99999,$J449),IF($K449="",99999,$K449)))</f>
        <v/>
      </c>
      <c r="M449" s="16">
        <f>IF(AND($I449="",$J449=""),"",IF(OR(AND($I449&lt;&gt;"",N($I449)&lt;0),AND($J449&lt;&gt;"",N($J449)&lt;0)),"Overdue",IF(OR(AND($I449&lt;&gt;"",N($I449)&lt;=IFERROR(INDEX('Intervals'!$E$4:$E$33,MATCH($B449,'Intervals'!$A$4:$A$33,0)),500)),AND($J449&lt;&gt;"",N($J449)&lt;=IFERROR(INDEX('Intervals'!$F$4:$F$33,MATCH($B449,'Intervals'!$A$4:$A$33,0)),14))),"Due soon","OK")))</f>
        <v/>
      </c>
      <c r="N449" s="15" t="n"/>
      <c r="O449" s="22">
        <f>IF(OR($M449="",$M449="OK"),"",$L449+ROW()/100000)</f>
        <v/>
      </c>
    </row>
    <row r="450">
      <c r="A450" s="15" t="n"/>
      <c r="B450" s="15" t="n"/>
      <c r="C450" s="16">
        <f>IF($B450="","",IFERROR(INDEX('Intervals'!$B$4:$B$33,MATCH($B450,'Intervals'!$A$4:$A$33,0)),""))</f>
        <v/>
      </c>
      <c r="D450" s="17" t="n"/>
      <c r="E450" s="18" t="n"/>
      <c r="F450" s="19">
        <f>IF(OR($B450="",$E450=""),"",IFERROR(IF(AND(INDEX('Intervals'!$G$4:$G$33,MATCH($B450,'Intervals'!$A$4:$A$33,0))&lt;&gt;"No",N(INDEX('Intervals'!$C$4:$C$33,MATCH($B450,'Intervals'!$A$4:$A$33,0)))&gt;0),$E450+N(INDEX('Intervals'!$C$4:$C$33,MATCH($B450,'Intervals'!$A$4:$A$33,0))),""),""))</f>
        <v/>
      </c>
      <c r="G450" s="20">
        <f>IF(OR($B450="",$D450=""),"",IFERROR(IF(AND(INDEX('Intervals'!$G$4:$G$33,MATCH($B450,'Intervals'!$A$4:$A$33,0))&lt;&gt;"No",N(INDEX('Intervals'!$D$4:$D$33,MATCH($B450,'Intervals'!$A$4:$A$33,0)))&gt;0),EDATE($D450,N(INDEX('Intervals'!$D$4:$D$33,MATCH($B450,'Intervals'!$A$4:$A$33,0)))),""),""))</f>
        <v/>
      </c>
      <c r="H450" s="19">
        <f>IF($A450="","",IFERROR(IF(N(INDEX('Cars'!$H$4:$H$103,MATCH($A450,'Cars'!$A$4:$A$103,0)))&gt;0,INDEX('Cars'!$H$4:$H$103,MATCH($A450,'Cars'!$A$4:$A$103,0)),""),""))</f>
        <v/>
      </c>
      <c r="I450" s="19">
        <f>IF(OR($F450="",$H450=""),"",$F450-$H450)</f>
        <v/>
      </c>
      <c r="J450" s="21">
        <f>IF($G450="","",$G450-TODAY())</f>
        <v/>
      </c>
      <c r="K450" s="21">
        <f>IF($I450="","",IFERROR(IF(N(INDEX('Cars'!$J$4:$J$103,MATCH($A450,'Cars'!$A$4:$A$103,0)))&gt;0,ROUND($I450/INDEX('Cars'!$J$4:$J$103,MATCH($A450,'Cars'!$A$4:$A$103,0))*30,0),""),""))</f>
        <v/>
      </c>
      <c r="L450" s="21">
        <f>IF(AND($J450="",$K450=""),"",MIN(IF($J450="",99999,$J450),IF($K450="",99999,$K450)))</f>
        <v/>
      </c>
      <c r="M450" s="16">
        <f>IF(AND($I450="",$J450=""),"",IF(OR(AND($I450&lt;&gt;"",N($I450)&lt;0),AND($J450&lt;&gt;"",N($J450)&lt;0)),"Overdue",IF(OR(AND($I450&lt;&gt;"",N($I450)&lt;=IFERROR(INDEX('Intervals'!$E$4:$E$33,MATCH($B450,'Intervals'!$A$4:$A$33,0)),500)),AND($J450&lt;&gt;"",N($J450)&lt;=IFERROR(INDEX('Intervals'!$F$4:$F$33,MATCH($B450,'Intervals'!$A$4:$A$33,0)),14))),"Due soon","OK")))</f>
        <v/>
      </c>
      <c r="N450" s="15" t="n"/>
      <c r="O450" s="22">
        <f>IF(OR($M450="",$M450="OK"),"",$L450+ROW()/100000)</f>
        <v/>
      </c>
    </row>
    <row r="451">
      <c r="A451" s="15" t="n"/>
      <c r="B451" s="15" t="n"/>
      <c r="C451" s="16">
        <f>IF($B451="","",IFERROR(INDEX('Intervals'!$B$4:$B$33,MATCH($B451,'Intervals'!$A$4:$A$33,0)),""))</f>
        <v/>
      </c>
      <c r="D451" s="17" t="n"/>
      <c r="E451" s="18" t="n"/>
      <c r="F451" s="19">
        <f>IF(OR($B451="",$E451=""),"",IFERROR(IF(AND(INDEX('Intervals'!$G$4:$G$33,MATCH($B451,'Intervals'!$A$4:$A$33,0))&lt;&gt;"No",N(INDEX('Intervals'!$C$4:$C$33,MATCH($B451,'Intervals'!$A$4:$A$33,0)))&gt;0),$E451+N(INDEX('Intervals'!$C$4:$C$33,MATCH($B451,'Intervals'!$A$4:$A$33,0))),""),""))</f>
        <v/>
      </c>
      <c r="G451" s="20">
        <f>IF(OR($B451="",$D451=""),"",IFERROR(IF(AND(INDEX('Intervals'!$G$4:$G$33,MATCH($B451,'Intervals'!$A$4:$A$33,0))&lt;&gt;"No",N(INDEX('Intervals'!$D$4:$D$33,MATCH($B451,'Intervals'!$A$4:$A$33,0)))&gt;0),EDATE($D451,N(INDEX('Intervals'!$D$4:$D$33,MATCH($B451,'Intervals'!$A$4:$A$33,0)))),""),""))</f>
        <v/>
      </c>
      <c r="H451" s="19">
        <f>IF($A451="","",IFERROR(IF(N(INDEX('Cars'!$H$4:$H$103,MATCH($A451,'Cars'!$A$4:$A$103,0)))&gt;0,INDEX('Cars'!$H$4:$H$103,MATCH($A451,'Cars'!$A$4:$A$103,0)),""),""))</f>
        <v/>
      </c>
      <c r="I451" s="19">
        <f>IF(OR($F451="",$H451=""),"",$F451-$H451)</f>
        <v/>
      </c>
      <c r="J451" s="21">
        <f>IF($G451="","",$G451-TODAY())</f>
        <v/>
      </c>
      <c r="K451" s="21">
        <f>IF($I451="","",IFERROR(IF(N(INDEX('Cars'!$J$4:$J$103,MATCH($A451,'Cars'!$A$4:$A$103,0)))&gt;0,ROUND($I451/INDEX('Cars'!$J$4:$J$103,MATCH($A451,'Cars'!$A$4:$A$103,0))*30,0),""),""))</f>
        <v/>
      </c>
      <c r="L451" s="21">
        <f>IF(AND($J451="",$K451=""),"",MIN(IF($J451="",99999,$J451),IF($K451="",99999,$K451)))</f>
        <v/>
      </c>
      <c r="M451" s="16">
        <f>IF(AND($I451="",$J451=""),"",IF(OR(AND($I451&lt;&gt;"",N($I451)&lt;0),AND($J451&lt;&gt;"",N($J451)&lt;0)),"Overdue",IF(OR(AND($I451&lt;&gt;"",N($I451)&lt;=IFERROR(INDEX('Intervals'!$E$4:$E$33,MATCH($B451,'Intervals'!$A$4:$A$33,0)),500)),AND($J451&lt;&gt;"",N($J451)&lt;=IFERROR(INDEX('Intervals'!$F$4:$F$33,MATCH($B451,'Intervals'!$A$4:$A$33,0)),14))),"Due soon","OK")))</f>
        <v/>
      </c>
      <c r="N451" s="15" t="n"/>
      <c r="O451" s="22">
        <f>IF(OR($M451="",$M451="OK"),"",$L451+ROW()/100000)</f>
        <v/>
      </c>
    </row>
    <row r="452">
      <c r="A452" s="15" t="n"/>
      <c r="B452" s="15" t="n"/>
      <c r="C452" s="16">
        <f>IF($B452="","",IFERROR(INDEX('Intervals'!$B$4:$B$33,MATCH($B452,'Intervals'!$A$4:$A$33,0)),""))</f>
        <v/>
      </c>
      <c r="D452" s="17" t="n"/>
      <c r="E452" s="18" t="n"/>
      <c r="F452" s="19">
        <f>IF(OR($B452="",$E452=""),"",IFERROR(IF(AND(INDEX('Intervals'!$G$4:$G$33,MATCH($B452,'Intervals'!$A$4:$A$33,0))&lt;&gt;"No",N(INDEX('Intervals'!$C$4:$C$33,MATCH($B452,'Intervals'!$A$4:$A$33,0)))&gt;0),$E452+N(INDEX('Intervals'!$C$4:$C$33,MATCH($B452,'Intervals'!$A$4:$A$33,0))),""),""))</f>
        <v/>
      </c>
      <c r="G452" s="20">
        <f>IF(OR($B452="",$D452=""),"",IFERROR(IF(AND(INDEX('Intervals'!$G$4:$G$33,MATCH($B452,'Intervals'!$A$4:$A$33,0))&lt;&gt;"No",N(INDEX('Intervals'!$D$4:$D$33,MATCH($B452,'Intervals'!$A$4:$A$33,0)))&gt;0),EDATE($D452,N(INDEX('Intervals'!$D$4:$D$33,MATCH($B452,'Intervals'!$A$4:$A$33,0)))),""),""))</f>
        <v/>
      </c>
      <c r="H452" s="19">
        <f>IF($A452="","",IFERROR(IF(N(INDEX('Cars'!$H$4:$H$103,MATCH($A452,'Cars'!$A$4:$A$103,0)))&gt;0,INDEX('Cars'!$H$4:$H$103,MATCH($A452,'Cars'!$A$4:$A$103,0)),""),""))</f>
        <v/>
      </c>
      <c r="I452" s="19">
        <f>IF(OR($F452="",$H452=""),"",$F452-$H452)</f>
        <v/>
      </c>
      <c r="J452" s="21">
        <f>IF($G452="","",$G452-TODAY())</f>
        <v/>
      </c>
      <c r="K452" s="21">
        <f>IF($I452="","",IFERROR(IF(N(INDEX('Cars'!$J$4:$J$103,MATCH($A452,'Cars'!$A$4:$A$103,0)))&gt;0,ROUND($I452/INDEX('Cars'!$J$4:$J$103,MATCH($A452,'Cars'!$A$4:$A$103,0))*30,0),""),""))</f>
        <v/>
      </c>
      <c r="L452" s="21">
        <f>IF(AND($J452="",$K452=""),"",MIN(IF($J452="",99999,$J452),IF($K452="",99999,$K452)))</f>
        <v/>
      </c>
      <c r="M452" s="16">
        <f>IF(AND($I452="",$J452=""),"",IF(OR(AND($I452&lt;&gt;"",N($I452)&lt;0),AND($J452&lt;&gt;"",N($J452)&lt;0)),"Overdue",IF(OR(AND($I452&lt;&gt;"",N($I452)&lt;=IFERROR(INDEX('Intervals'!$E$4:$E$33,MATCH($B452,'Intervals'!$A$4:$A$33,0)),500)),AND($J452&lt;&gt;"",N($J452)&lt;=IFERROR(INDEX('Intervals'!$F$4:$F$33,MATCH($B452,'Intervals'!$A$4:$A$33,0)),14))),"Due soon","OK")))</f>
        <v/>
      </c>
      <c r="N452" s="15" t="n"/>
      <c r="O452" s="22">
        <f>IF(OR($M452="",$M452="OK"),"",$L452+ROW()/100000)</f>
        <v/>
      </c>
    </row>
    <row r="453">
      <c r="A453" s="15" t="n"/>
      <c r="B453" s="15" t="n"/>
      <c r="C453" s="16">
        <f>IF($B453="","",IFERROR(INDEX('Intervals'!$B$4:$B$33,MATCH($B453,'Intervals'!$A$4:$A$33,0)),""))</f>
        <v/>
      </c>
      <c r="D453" s="17" t="n"/>
      <c r="E453" s="18" t="n"/>
      <c r="F453" s="19">
        <f>IF(OR($B453="",$E453=""),"",IFERROR(IF(AND(INDEX('Intervals'!$G$4:$G$33,MATCH($B453,'Intervals'!$A$4:$A$33,0))&lt;&gt;"No",N(INDEX('Intervals'!$C$4:$C$33,MATCH($B453,'Intervals'!$A$4:$A$33,0)))&gt;0),$E453+N(INDEX('Intervals'!$C$4:$C$33,MATCH($B453,'Intervals'!$A$4:$A$33,0))),""),""))</f>
        <v/>
      </c>
      <c r="G453" s="20">
        <f>IF(OR($B453="",$D453=""),"",IFERROR(IF(AND(INDEX('Intervals'!$G$4:$G$33,MATCH($B453,'Intervals'!$A$4:$A$33,0))&lt;&gt;"No",N(INDEX('Intervals'!$D$4:$D$33,MATCH($B453,'Intervals'!$A$4:$A$33,0)))&gt;0),EDATE($D453,N(INDEX('Intervals'!$D$4:$D$33,MATCH($B453,'Intervals'!$A$4:$A$33,0)))),""),""))</f>
        <v/>
      </c>
      <c r="H453" s="19">
        <f>IF($A453="","",IFERROR(IF(N(INDEX('Cars'!$H$4:$H$103,MATCH($A453,'Cars'!$A$4:$A$103,0)))&gt;0,INDEX('Cars'!$H$4:$H$103,MATCH($A453,'Cars'!$A$4:$A$103,0)),""),""))</f>
        <v/>
      </c>
      <c r="I453" s="19">
        <f>IF(OR($F453="",$H453=""),"",$F453-$H453)</f>
        <v/>
      </c>
      <c r="J453" s="21">
        <f>IF($G453="","",$G453-TODAY())</f>
        <v/>
      </c>
      <c r="K453" s="21">
        <f>IF($I453="","",IFERROR(IF(N(INDEX('Cars'!$J$4:$J$103,MATCH($A453,'Cars'!$A$4:$A$103,0)))&gt;0,ROUND($I453/INDEX('Cars'!$J$4:$J$103,MATCH($A453,'Cars'!$A$4:$A$103,0))*30,0),""),""))</f>
        <v/>
      </c>
      <c r="L453" s="21">
        <f>IF(AND($J453="",$K453=""),"",MIN(IF($J453="",99999,$J453),IF($K453="",99999,$K453)))</f>
        <v/>
      </c>
      <c r="M453" s="16">
        <f>IF(AND($I453="",$J453=""),"",IF(OR(AND($I453&lt;&gt;"",N($I453)&lt;0),AND($J453&lt;&gt;"",N($J453)&lt;0)),"Overdue",IF(OR(AND($I453&lt;&gt;"",N($I453)&lt;=IFERROR(INDEX('Intervals'!$E$4:$E$33,MATCH($B453,'Intervals'!$A$4:$A$33,0)),500)),AND($J453&lt;&gt;"",N($J453)&lt;=IFERROR(INDEX('Intervals'!$F$4:$F$33,MATCH($B453,'Intervals'!$A$4:$A$33,0)),14))),"Due soon","OK")))</f>
        <v/>
      </c>
      <c r="N453" s="15" t="n"/>
      <c r="O453" s="22">
        <f>IF(OR($M453="",$M453="OK"),"",$L453+ROW()/100000)</f>
        <v/>
      </c>
    </row>
    <row r="454">
      <c r="A454" s="15" t="n"/>
      <c r="B454" s="15" t="n"/>
      <c r="C454" s="16">
        <f>IF($B454="","",IFERROR(INDEX('Intervals'!$B$4:$B$33,MATCH($B454,'Intervals'!$A$4:$A$33,0)),""))</f>
        <v/>
      </c>
      <c r="D454" s="17" t="n"/>
      <c r="E454" s="18" t="n"/>
      <c r="F454" s="19">
        <f>IF(OR($B454="",$E454=""),"",IFERROR(IF(AND(INDEX('Intervals'!$G$4:$G$33,MATCH($B454,'Intervals'!$A$4:$A$33,0))&lt;&gt;"No",N(INDEX('Intervals'!$C$4:$C$33,MATCH($B454,'Intervals'!$A$4:$A$33,0)))&gt;0),$E454+N(INDEX('Intervals'!$C$4:$C$33,MATCH($B454,'Intervals'!$A$4:$A$33,0))),""),""))</f>
        <v/>
      </c>
      <c r="G454" s="20">
        <f>IF(OR($B454="",$D454=""),"",IFERROR(IF(AND(INDEX('Intervals'!$G$4:$G$33,MATCH($B454,'Intervals'!$A$4:$A$33,0))&lt;&gt;"No",N(INDEX('Intervals'!$D$4:$D$33,MATCH($B454,'Intervals'!$A$4:$A$33,0)))&gt;0),EDATE($D454,N(INDEX('Intervals'!$D$4:$D$33,MATCH($B454,'Intervals'!$A$4:$A$33,0)))),""),""))</f>
        <v/>
      </c>
      <c r="H454" s="19">
        <f>IF($A454="","",IFERROR(IF(N(INDEX('Cars'!$H$4:$H$103,MATCH($A454,'Cars'!$A$4:$A$103,0)))&gt;0,INDEX('Cars'!$H$4:$H$103,MATCH($A454,'Cars'!$A$4:$A$103,0)),""),""))</f>
        <v/>
      </c>
      <c r="I454" s="19">
        <f>IF(OR($F454="",$H454=""),"",$F454-$H454)</f>
        <v/>
      </c>
      <c r="J454" s="21">
        <f>IF($G454="","",$G454-TODAY())</f>
        <v/>
      </c>
      <c r="K454" s="21">
        <f>IF($I454="","",IFERROR(IF(N(INDEX('Cars'!$J$4:$J$103,MATCH($A454,'Cars'!$A$4:$A$103,0)))&gt;0,ROUND($I454/INDEX('Cars'!$J$4:$J$103,MATCH($A454,'Cars'!$A$4:$A$103,0))*30,0),""),""))</f>
        <v/>
      </c>
      <c r="L454" s="21">
        <f>IF(AND($J454="",$K454=""),"",MIN(IF($J454="",99999,$J454),IF($K454="",99999,$K454)))</f>
        <v/>
      </c>
      <c r="M454" s="16">
        <f>IF(AND($I454="",$J454=""),"",IF(OR(AND($I454&lt;&gt;"",N($I454)&lt;0),AND($J454&lt;&gt;"",N($J454)&lt;0)),"Overdue",IF(OR(AND($I454&lt;&gt;"",N($I454)&lt;=IFERROR(INDEX('Intervals'!$E$4:$E$33,MATCH($B454,'Intervals'!$A$4:$A$33,0)),500)),AND($J454&lt;&gt;"",N($J454)&lt;=IFERROR(INDEX('Intervals'!$F$4:$F$33,MATCH($B454,'Intervals'!$A$4:$A$33,0)),14))),"Due soon","OK")))</f>
        <v/>
      </c>
      <c r="N454" s="15" t="n"/>
      <c r="O454" s="22">
        <f>IF(OR($M454="",$M454="OK"),"",$L454+ROW()/100000)</f>
        <v/>
      </c>
    </row>
    <row r="455">
      <c r="A455" s="15" t="n"/>
      <c r="B455" s="15" t="n"/>
      <c r="C455" s="16">
        <f>IF($B455="","",IFERROR(INDEX('Intervals'!$B$4:$B$33,MATCH($B455,'Intervals'!$A$4:$A$33,0)),""))</f>
        <v/>
      </c>
      <c r="D455" s="17" t="n"/>
      <c r="E455" s="18" t="n"/>
      <c r="F455" s="19">
        <f>IF(OR($B455="",$E455=""),"",IFERROR(IF(AND(INDEX('Intervals'!$G$4:$G$33,MATCH($B455,'Intervals'!$A$4:$A$33,0))&lt;&gt;"No",N(INDEX('Intervals'!$C$4:$C$33,MATCH($B455,'Intervals'!$A$4:$A$33,0)))&gt;0),$E455+N(INDEX('Intervals'!$C$4:$C$33,MATCH($B455,'Intervals'!$A$4:$A$33,0))),""),""))</f>
        <v/>
      </c>
      <c r="G455" s="20">
        <f>IF(OR($B455="",$D455=""),"",IFERROR(IF(AND(INDEX('Intervals'!$G$4:$G$33,MATCH($B455,'Intervals'!$A$4:$A$33,0))&lt;&gt;"No",N(INDEX('Intervals'!$D$4:$D$33,MATCH($B455,'Intervals'!$A$4:$A$33,0)))&gt;0),EDATE($D455,N(INDEX('Intervals'!$D$4:$D$33,MATCH($B455,'Intervals'!$A$4:$A$33,0)))),""),""))</f>
        <v/>
      </c>
      <c r="H455" s="19">
        <f>IF($A455="","",IFERROR(IF(N(INDEX('Cars'!$H$4:$H$103,MATCH($A455,'Cars'!$A$4:$A$103,0)))&gt;0,INDEX('Cars'!$H$4:$H$103,MATCH($A455,'Cars'!$A$4:$A$103,0)),""),""))</f>
        <v/>
      </c>
      <c r="I455" s="19">
        <f>IF(OR($F455="",$H455=""),"",$F455-$H455)</f>
        <v/>
      </c>
      <c r="J455" s="21">
        <f>IF($G455="","",$G455-TODAY())</f>
        <v/>
      </c>
      <c r="K455" s="21">
        <f>IF($I455="","",IFERROR(IF(N(INDEX('Cars'!$J$4:$J$103,MATCH($A455,'Cars'!$A$4:$A$103,0)))&gt;0,ROUND($I455/INDEX('Cars'!$J$4:$J$103,MATCH($A455,'Cars'!$A$4:$A$103,0))*30,0),""),""))</f>
        <v/>
      </c>
      <c r="L455" s="21">
        <f>IF(AND($J455="",$K455=""),"",MIN(IF($J455="",99999,$J455),IF($K455="",99999,$K455)))</f>
        <v/>
      </c>
      <c r="M455" s="16">
        <f>IF(AND($I455="",$J455=""),"",IF(OR(AND($I455&lt;&gt;"",N($I455)&lt;0),AND($J455&lt;&gt;"",N($J455)&lt;0)),"Overdue",IF(OR(AND($I455&lt;&gt;"",N($I455)&lt;=IFERROR(INDEX('Intervals'!$E$4:$E$33,MATCH($B455,'Intervals'!$A$4:$A$33,0)),500)),AND($J455&lt;&gt;"",N($J455)&lt;=IFERROR(INDEX('Intervals'!$F$4:$F$33,MATCH($B455,'Intervals'!$A$4:$A$33,0)),14))),"Due soon","OK")))</f>
        <v/>
      </c>
      <c r="N455" s="15" t="n"/>
      <c r="O455" s="22">
        <f>IF(OR($M455="",$M455="OK"),"",$L455+ROW()/100000)</f>
        <v/>
      </c>
    </row>
    <row r="456">
      <c r="A456" s="15" t="n"/>
      <c r="B456" s="15" t="n"/>
      <c r="C456" s="16">
        <f>IF($B456="","",IFERROR(INDEX('Intervals'!$B$4:$B$33,MATCH($B456,'Intervals'!$A$4:$A$33,0)),""))</f>
        <v/>
      </c>
      <c r="D456" s="17" t="n"/>
      <c r="E456" s="18" t="n"/>
      <c r="F456" s="19">
        <f>IF(OR($B456="",$E456=""),"",IFERROR(IF(AND(INDEX('Intervals'!$G$4:$G$33,MATCH($B456,'Intervals'!$A$4:$A$33,0))&lt;&gt;"No",N(INDEX('Intervals'!$C$4:$C$33,MATCH($B456,'Intervals'!$A$4:$A$33,0)))&gt;0),$E456+N(INDEX('Intervals'!$C$4:$C$33,MATCH($B456,'Intervals'!$A$4:$A$33,0))),""),""))</f>
        <v/>
      </c>
      <c r="G456" s="20">
        <f>IF(OR($B456="",$D456=""),"",IFERROR(IF(AND(INDEX('Intervals'!$G$4:$G$33,MATCH($B456,'Intervals'!$A$4:$A$33,0))&lt;&gt;"No",N(INDEX('Intervals'!$D$4:$D$33,MATCH($B456,'Intervals'!$A$4:$A$33,0)))&gt;0),EDATE($D456,N(INDEX('Intervals'!$D$4:$D$33,MATCH($B456,'Intervals'!$A$4:$A$33,0)))),""),""))</f>
        <v/>
      </c>
      <c r="H456" s="19">
        <f>IF($A456="","",IFERROR(IF(N(INDEX('Cars'!$H$4:$H$103,MATCH($A456,'Cars'!$A$4:$A$103,0)))&gt;0,INDEX('Cars'!$H$4:$H$103,MATCH($A456,'Cars'!$A$4:$A$103,0)),""),""))</f>
        <v/>
      </c>
      <c r="I456" s="19">
        <f>IF(OR($F456="",$H456=""),"",$F456-$H456)</f>
        <v/>
      </c>
      <c r="J456" s="21">
        <f>IF($G456="","",$G456-TODAY())</f>
        <v/>
      </c>
      <c r="K456" s="21">
        <f>IF($I456="","",IFERROR(IF(N(INDEX('Cars'!$J$4:$J$103,MATCH($A456,'Cars'!$A$4:$A$103,0)))&gt;0,ROUND($I456/INDEX('Cars'!$J$4:$J$103,MATCH($A456,'Cars'!$A$4:$A$103,0))*30,0),""),""))</f>
        <v/>
      </c>
      <c r="L456" s="21">
        <f>IF(AND($J456="",$K456=""),"",MIN(IF($J456="",99999,$J456),IF($K456="",99999,$K456)))</f>
        <v/>
      </c>
      <c r="M456" s="16">
        <f>IF(AND($I456="",$J456=""),"",IF(OR(AND($I456&lt;&gt;"",N($I456)&lt;0),AND($J456&lt;&gt;"",N($J456)&lt;0)),"Overdue",IF(OR(AND($I456&lt;&gt;"",N($I456)&lt;=IFERROR(INDEX('Intervals'!$E$4:$E$33,MATCH($B456,'Intervals'!$A$4:$A$33,0)),500)),AND($J456&lt;&gt;"",N($J456)&lt;=IFERROR(INDEX('Intervals'!$F$4:$F$33,MATCH($B456,'Intervals'!$A$4:$A$33,0)),14))),"Due soon","OK")))</f>
        <v/>
      </c>
      <c r="N456" s="15" t="n"/>
      <c r="O456" s="22">
        <f>IF(OR($M456="",$M456="OK"),"",$L456+ROW()/100000)</f>
        <v/>
      </c>
    </row>
    <row r="457">
      <c r="A457" s="15" t="n"/>
      <c r="B457" s="15" t="n"/>
      <c r="C457" s="16">
        <f>IF($B457="","",IFERROR(INDEX('Intervals'!$B$4:$B$33,MATCH($B457,'Intervals'!$A$4:$A$33,0)),""))</f>
        <v/>
      </c>
      <c r="D457" s="17" t="n"/>
      <c r="E457" s="18" t="n"/>
      <c r="F457" s="19">
        <f>IF(OR($B457="",$E457=""),"",IFERROR(IF(AND(INDEX('Intervals'!$G$4:$G$33,MATCH($B457,'Intervals'!$A$4:$A$33,0))&lt;&gt;"No",N(INDEX('Intervals'!$C$4:$C$33,MATCH($B457,'Intervals'!$A$4:$A$33,0)))&gt;0),$E457+N(INDEX('Intervals'!$C$4:$C$33,MATCH($B457,'Intervals'!$A$4:$A$33,0))),""),""))</f>
        <v/>
      </c>
      <c r="G457" s="20">
        <f>IF(OR($B457="",$D457=""),"",IFERROR(IF(AND(INDEX('Intervals'!$G$4:$G$33,MATCH($B457,'Intervals'!$A$4:$A$33,0))&lt;&gt;"No",N(INDEX('Intervals'!$D$4:$D$33,MATCH($B457,'Intervals'!$A$4:$A$33,0)))&gt;0),EDATE($D457,N(INDEX('Intervals'!$D$4:$D$33,MATCH($B457,'Intervals'!$A$4:$A$33,0)))),""),""))</f>
        <v/>
      </c>
      <c r="H457" s="19">
        <f>IF($A457="","",IFERROR(IF(N(INDEX('Cars'!$H$4:$H$103,MATCH($A457,'Cars'!$A$4:$A$103,0)))&gt;0,INDEX('Cars'!$H$4:$H$103,MATCH($A457,'Cars'!$A$4:$A$103,0)),""),""))</f>
        <v/>
      </c>
      <c r="I457" s="19">
        <f>IF(OR($F457="",$H457=""),"",$F457-$H457)</f>
        <v/>
      </c>
      <c r="J457" s="21">
        <f>IF($G457="","",$G457-TODAY())</f>
        <v/>
      </c>
      <c r="K457" s="21">
        <f>IF($I457="","",IFERROR(IF(N(INDEX('Cars'!$J$4:$J$103,MATCH($A457,'Cars'!$A$4:$A$103,0)))&gt;0,ROUND($I457/INDEX('Cars'!$J$4:$J$103,MATCH($A457,'Cars'!$A$4:$A$103,0))*30,0),""),""))</f>
        <v/>
      </c>
      <c r="L457" s="21">
        <f>IF(AND($J457="",$K457=""),"",MIN(IF($J457="",99999,$J457),IF($K457="",99999,$K457)))</f>
        <v/>
      </c>
      <c r="M457" s="16">
        <f>IF(AND($I457="",$J457=""),"",IF(OR(AND($I457&lt;&gt;"",N($I457)&lt;0),AND($J457&lt;&gt;"",N($J457)&lt;0)),"Overdue",IF(OR(AND($I457&lt;&gt;"",N($I457)&lt;=IFERROR(INDEX('Intervals'!$E$4:$E$33,MATCH($B457,'Intervals'!$A$4:$A$33,0)),500)),AND($J457&lt;&gt;"",N($J457)&lt;=IFERROR(INDEX('Intervals'!$F$4:$F$33,MATCH($B457,'Intervals'!$A$4:$A$33,0)),14))),"Due soon","OK")))</f>
        <v/>
      </c>
      <c r="N457" s="15" t="n"/>
      <c r="O457" s="22">
        <f>IF(OR($M457="",$M457="OK"),"",$L457+ROW()/100000)</f>
        <v/>
      </c>
    </row>
    <row r="458">
      <c r="A458" s="15" t="n"/>
      <c r="B458" s="15" t="n"/>
      <c r="C458" s="16">
        <f>IF($B458="","",IFERROR(INDEX('Intervals'!$B$4:$B$33,MATCH($B458,'Intervals'!$A$4:$A$33,0)),""))</f>
        <v/>
      </c>
      <c r="D458" s="17" t="n"/>
      <c r="E458" s="18" t="n"/>
      <c r="F458" s="19">
        <f>IF(OR($B458="",$E458=""),"",IFERROR(IF(AND(INDEX('Intervals'!$G$4:$G$33,MATCH($B458,'Intervals'!$A$4:$A$33,0))&lt;&gt;"No",N(INDEX('Intervals'!$C$4:$C$33,MATCH($B458,'Intervals'!$A$4:$A$33,0)))&gt;0),$E458+N(INDEX('Intervals'!$C$4:$C$33,MATCH($B458,'Intervals'!$A$4:$A$33,0))),""),""))</f>
        <v/>
      </c>
      <c r="G458" s="20">
        <f>IF(OR($B458="",$D458=""),"",IFERROR(IF(AND(INDEX('Intervals'!$G$4:$G$33,MATCH($B458,'Intervals'!$A$4:$A$33,0))&lt;&gt;"No",N(INDEX('Intervals'!$D$4:$D$33,MATCH($B458,'Intervals'!$A$4:$A$33,0)))&gt;0),EDATE($D458,N(INDEX('Intervals'!$D$4:$D$33,MATCH($B458,'Intervals'!$A$4:$A$33,0)))),""),""))</f>
        <v/>
      </c>
      <c r="H458" s="19">
        <f>IF($A458="","",IFERROR(IF(N(INDEX('Cars'!$H$4:$H$103,MATCH($A458,'Cars'!$A$4:$A$103,0)))&gt;0,INDEX('Cars'!$H$4:$H$103,MATCH($A458,'Cars'!$A$4:$A$103,0)),""),""))</f>
        <v/>
      </c>
      <c r="I458" s="19">
        <f>IF(OR($F458="",$H458=""),"",$F458-$H458)</f>
        <v/>
      </c>
      <c r="J458" s="21">
        <f>IF($G458="","",$G458-TODAY())</f>
        <v/>
      </c>
      <c r="K458" s="21">
        <f>IF($I458="","",IFERROR(IF(N(INDEX('Cars'!$J$4:$J$103,MATCH($A458,'Cars'!$A$4:$A$103,0)))&gt;0,ROUND($I458/INDEX('Cars'!$J$4:$J$103,MATCH($A458,'Cars'!$A$4:$A$103,0))*30,0),""),""))</f>
        <v/>
      </c>
      <c r="L458" s="21">
        <f>IF(AND($J458="",$K458=""),"",MIN(IF($J458="",99999,$J458),IF($K458="",99999,$K458)))</f>
        <v/>
      </c>
      <c r="M458" s="16">
        <f>IF(AND($I458="",$J458=""),"",IF(OR(AND($I458&lt;&gt;"",N($I458)&lt;0),AND($J458&lt;&gt;"",N($J458)&lt;0)),"Overdue",IF(OR(AND($I458&lt;&gt;"",N($I458)&lt;=IFERROR(INDEX('Intervals'!$E$4:$E$33,MATCH($B458,'Intervals'!$A$4:$A$33,0)),500)),AND($J458&lt;&gt;"",N($J458)&lt;=IFERROR(INDEX('Intervals'!$F$4:$F$33,MATCH($B458,'Intervals'!$A$4:$A$33,0)),14))),"Due soon","OK")))</f>
        <v/>
      </c>
      <c r="N458" s="15" t="n"/>
      <c r="O458" s="22">
        <f>IF(OR($M458="",$M458="OK"),"",$L458+ROW()/100000)</f>
        <v/>
      </c>
    </row>
    <row r="459">
      <c r="A459" s="15" t="n"/>
      <c r="B459" s="15" t="n"/>
      <c r="C459" s="16">
        <f>IF($B459="","",IFERROR(INDEX('Intervals'!$B$4:$B$33,MATCH($B459,'Intervals'!$A$4:$A$33,0)),""))</f>
        <v/>
      </c>
      <c r="D459" s="17" t="n"/>
      <c r="E459" s="18" t="n"/>
      <c r="F459" s="19">
        <f>IF(OR($B459="",$E459=""),"",IFERROR(IF(AND(INDEX('Intervals'!$G$4:$G$33,MATCH($B459,'Intervals'!$A$4:$A$33,0))&lt;&gt;"No",N(INDEX('Intervals'!$C$4:$C$33,MATCH($B459,'Intervals'!$A$4:$A$33,0)))&gt;0),$E459+N(INDEX('Intervals'!$C$4:$C$33,MATCH($B459,'Intervals'!$A$4:$A$33,0))),""),""))</f>
        <v/>
      </c>
      <c r="G459" s="20">
        <f>IF(OR($B459="",$D459=""),"",IFERROR(IF(AND(INDEX('Intervals'!$G$4:$G$33,MATCH($B459,'Intervals'!$A$4:$A$33,0))&lt;&gt;"No",N(INDEX('Intervals'!$D$4:$D$33,MATCH($B459,'Intervals'!$A$4:$A$33,0)))&gt;0),EDATE($D459,N(INDEX('Intervals'!$D$4:$D$33,MATCH($B459,'Intervals'!$A$4:$A$33,0)))),""),""))</f>
        <v/>
      </c>
      <c r="H459" s="19">
        <f>IF($A459="","",IFERROR(IF(N(INDEX('Cars'!$H$4:$H$103,MATCH($A459,'Cars'!$A$4:$A$103,0)))&gt;0,INDEX('Cars'!$H$4:$H$103,MATCH($A459,'Cars'!$A$4:$A$103,0)),""),""))</f>
        <v/>
      </c>
      <c r="I459" s="19">
        <f>IF(OR($F459="",$H459=""),"",$F459-$H459)</f>
        <v/>
      </c>
      <c r="J459" s="21">
        <f>IF($G459="","",$G459-TODAY())</f>
        <v/>
      </c>
      <c r="K459" s="21">
        <f>IF($I459="","",IFERROR(IF(N(INDEX('Cars'!$J$4:$J$103,MATCH($A459,'Cars'!$A$4:$A$103,0)))&gt;0,ROUND($I459/INDEX('Cars'!$J$4:$J$103,MATCH($A459,'Cars'!$A$4:$A$103,0))*30,0),""),""))</f>
        <v/>
      </c>
      <c r="L459" s="21">
        <f>IF(AND($J459="",$K459=""),"",MIN(IF($J459="",99999,$J459),IF($K459="",99999,$K459)))</f>
        <v/>
      </c>
      <c r="M459" s="16">
        <f>IF(AND($I459="",$J459=""),"",IF(OR(AND($I459&lt;&gt;"",N($I459)&lt;0),AND($J459&lt;&gt;"",N($J459)&lt;0)),"Overdue",IF(OR(AND($I459&lt;&gt;"",N($I459)&lt;=IFERROR(INDEX('Intervals'!$E$4:$E$33,MATCH($B459,'Intervals'!$A$4:$A$33,0)),500)),AND($J459&lt;&gt;"",N($J459)&lt;=IFERROR(INDEX('Intervals'!$F$4:$F$33,MATCH($B459,'Intervals'!$A$4:$A$33,0)),14))),"Due soon","OK")))</f>
        <v/>
      </c>
      <c r="N459" s="15" t="n"/>
      <c r="O459" s="22">
        <f>IF(OR($M459="",$M459="OK"),"",$L459+ROW()/100000)</f>
        <v/>
      </c>
    </row>
    <row r="460">
      <c r="A460" s="15" t="n"/>
      <c r="B460" s="15" t="n"/>
      <c r="C460" s="16">
        <f>IF($B460="","",IFERROR(INDEX('Intervals'!$B$4:$B$33,MATCH($B460,'Intervals'!$A$4:$A$33,0)),""))</f>
        <v/>
      </c>
      <c r="D460" s="17" t="n"/>
      <c r="E460" s="18" t="n"/>
      <c r="F460" s="19">
        <f>IF(OR($B460="",$E460=""),"",IFERROR(IF(AND(INDEX('Intervals'!$G$4:$G$33,MATCH($B460,'Intervals'!$A$4:$A$33,0))&lt;&gt;"No",N(INDEX('Intervals'!$C$4:$C$33,MATCH($B460,'Intervals'!$A$4:$A$33,0)))&gt;0),$E460+N(INDEX('Intervals'!$C$4:$C$33,MATCH($B460,'Intervals'!$A$4:$A$33,0))),""),""))</f>
        <v/>
      </c>
      <c r="G460" s="20">
        <f>IF(OR($B460="",$D460=""),"",IFERROR(IF(AND(INDEX('Intervals'!$G$4:$G$33,MATCH($B460,'Intervals'!$A$4:$A$33,0))&lt;&gt;"No",N(INDEX('Intervals'!$D$4:$D$33,MATCH($B460,'Intervals'!$A$4:$A$33,0)))&gt;0),EDATE($D460,N(INDEX('Intervals'!$D$4:$D$33,MATCH($B460,'Intervals'!$A$4:$A$33,0)))),""),""))</f>
        <v/>
      </c>
      <c r="H460" s="19">
        <f>IF($A460="","",IFERROR(IF(N(INDEX('Cars'!$H$4:$H$103,MATCH($A460,'Cars'!$A$4:$A$103,0)))&gt;0,INDEX('Cars'!$H$4:$H$103,MATCH($A460,'Cars'!$A$4:$A$103,0)),""),""))</f>
        <v/>
      </c>
      <c r="I460" s="19">
        <f>IF(OR($F460="",$H460=""),"",$F460-$H460)</f>
        <v/>
      </c>
      <c r="J460" s="21">
        <f>IF($G460="","",$G460-TODAY())</f>
        <v/>
      </c>
      <c r="K460" s="21">
        <f>IF($I460="","",IFERROR(IF(N(INDEX('Cars'!$J$4:$J$103,MATCH($A460,'Cars'!$A$4:$A$103,0)))&gt;0,ROUND($I460/INDEX('Cars'!$J$4:$J$103,MATCH($A460,'Cars'!$A$4:$A$103,0))*30,0),""),""))</f>
        <v/>
      </c>
      <c r="L460" s="21">
        <f>IF(AND($J460="",$K460=""),"",MIN(IF($J460="",99999,$J460),IF($K460="",99999,$K460)))</f>
        <v/>
      </c>
      <c r="M460" s="16">
        <f>IF(AND($I460="",$J460=""),"",IF(OR(AND($I460&lt;&gt;"",N($I460)&lt;0),AND($J460&lt;&gt;"",N($J460)&lt;0)),"Overdue",IF(OR(AND($I460&lt;&gt;"",N($I460)&lt;=IFERROR(INDEX('Intervals'!$E$4:$E$33,MATCH($B460,'Intervals'!$A$4:$A$33,0)),500)),AND($J460&lt;&gt;"",N($J460)&lt;=IFERROR(INDEX('Intervals'!$F$4:$F$33,MATCH($B460,'Intervals'!$A$4:$A$33,0)),14))),"Due soon","OK")))</f>
        <v/>
      </c>
      <c r="N460" s="15" t="n"/>
      <c r="O460" s="22">
        <f>IF(OR($M460="",$M460="OK"),"",$L460+ROW()/100000)</f>
        <v/>
      </c>
    </row>
    <row r="461">
      <c r="A461" s="15" t="n"/>
      <c r="B461" s="15" t="n"/>
      <c r="C461" s="16">
        <f>IF($B461="","",IFERROR(INDEX('Intervals'!$B$4:$B$33,MATCH($B461,'Intervals'!$A$4:$A$33,0)),""))</f>
        <v/>
      </c>
      <c r="D461" s="17" t="n"/>
      <c r="E461" s="18" t="n"/>
      <c r="F461" s="19">
        <f>IF(OR($B461="",$E461=""),"",IFERROR(IF(AND(INDEX('Intervals'!$G$4:$G$33,MATCH($B461,'Intervals'!$A$4:$A$33,0))&lt;&gt;"No",N(INDEX('Intervals'!$C$4:$C$33,MATCH($B461,'Intervals'!$A$4:$A$33,0)))&gt;0),$E461+N(INDEX('Intervals'!$C$4:$C$33,MATCH($B461,'Intervals'!$A$4:$A$33,0))),""),""))</f>
        <v/>
      </c>
      <c r="G461" s="20">
        <f>IF(OR($B461="",$D461=""),"",IFERROR(IF(AND(INDEX('Intervals'!$G$4:$G$33,MATCH($B461,'Intervals'!$A$4:$A$33,0))&lt;&gt;"No",N(INDEX('Intervals'!$D$4:$D$33,MATCH($B461,'Intervals'!$A$4:$A$33,0)))&gt;0),EDATE($D461,N(INDEX('Intervals'!$D$4:$D$33,MATCH($B461,'Intervals'!$A$4:$A$33,0)))),""),""))</f>
        <v/>
      </c>
      <c r="H461" s="19">
        <f>IF($A461="","",IFERROR(IF(N(INDEX('Cars'!$H$4:$H$103,MATCH($A461,'Cars'!$A$4:$A$103,0)))&gt;0,INDEX('Cars'!$H$4:$H$103,MATCH($A461,'Cars'!$A$4:$A$103,0)),""),""))</f>
        <v/>
      </c>
      <c r="I461" s="19">
        <f>IF(OR($F461="",$H461=""),"",$F461-$H461)</f>
        <v/>
      </c>
      <c r="J461" s="21">
        <f>IF($G461="","",$G461-TODAY())</f>
        <v/>
      </c>
      <c r="K461" s="21">
        <f>IF($I461="","",IFERROR(IF(N(INDEX('Cars'!$J$4:$J$103,MATCH($A461,'Cars'!$A$4:$A$103,0)))&gt;0,ROUND($I461/INDEX('Cars'!$J$4:$J$103,MATCH($A461,'Cars'!$A$4:$A$103,0))*30,0),""),""))</f>
        <v/>
      </c>
      <c r="L461" s="21">
        <f>IF(AND($J461="",$K461=""),"",MIN(IF($J461="",99999,$J461),IF($K461="",99999,$K461)))</f>
        <v/>
      </c>
      <c r="M461" s="16">
        <f>IF(AND($I461="",$J461=""),"",IF(OR(AND($I461&lt;&gt;"",N($I461)&lt;0),AND($J461&lt;&gt;"",N($J461)&lt;0)),"Overdue",IF(OR(AND($I461&lt;&gt;"",N($I461)&lt;=IFERROR(INDEX('Intervals'!$E$4:$E$33,MATCH($B461,'Intervals'!$A$4:$A$33,0)),500)),AND($J461&lt;&gt;"",N($J461)&lt;=IFERROR(INDEX('Intervals'!$F$4:$F$33,MATCH($B461,'Intervals'!$A$4:$A$33,0)),14))),"Due soon","OK")))</f>
        <v/>
      </c>
      <c r="N461" s="15" t="n"/>
      <c r="O461" s="22">
        <f>IF(OR($M461="",$M461="OK"),"",$L461+ROW()/100000)</f>
        <v/>
      </c>
    </row>
    <row r="462">
      <c r="A462" s="15" t="n"/>
      <c r="B462" s="15" t="n"/>
      <c r="C462" s="16">
        <f>IF($B462="","",IFERROR(INDEX('Intervals'!$B$4:$B$33,MATCH($B462,'Intervals'!$A$4:$A$33,0)),""))</f>
        <v/>
      </c>
      <c r="D462" s="17" t="n"/>
      <c r="E462" s="18" t="n"/>
      <c r="F462" s="19">
        <f>IF(OR($B462="",$E462=""),"",IFERROR(IF(AND(INDEX('Intervals'!$G$4:$G$33,MATCH($B462,'Intervals'!$A$4:$A$33,0))&lt;&gt;"No",N(INDEX('Intervals'!$C$4:$C$33,MATCH($B462,'Intervals'!$A$4:$A$33,0)))&gt;0),$E462+N(INDEX('Intervals'!$C$4:$C$33,MATCH($B462,'Intervals'!$A$4:$A$33,0))),""),""))</f>
        <v/>
      </c>
      <c r="G462" s="20">
        <f>IF(OR($B462="",$D462=""),"",IFERROR(IF(AND(INDEX('Intervals'!$G$4:$G$33,MATCH($B462,'Intervals'!$A$4:$A$33,0))&lt;&gt;"No",N(INDEX('Intervals'!$D$4:$D$33,MATCH($B462,'Intervals'!$A$4:$A$33,0)))&gt;0),EDATE($D462,N(INDEX('Intervals'!$D$4:$D$33,MATCH($B462,'Intervals'!$A$4:$A$33,0)))),""),""))</f>
        <v/>
      </c>
      <c r="H462" s="19">
        <f>IF($A462="","",IFERROR(IF(N(INDEX('Cars'!$H$4:$H$103,MATCH($A462,'Cars'!$A$4:$A$103,0)))&gt;0,INDEX('Cars'!$H$4:$H$103,MATCH($A462,'Cars'!$A$4:$A$103,0)),""),""))</f>
        <v/>
      </c>
      <c r="I462" s="19">
        <f>IF(OR($F462="",$H462=""),"",$F462-$H462)</f>
        <v/>
      </c>
      <c r="J462" s="21">
        <f>IF($G462="","",$G462-TODAY())</f>
        <v/>
      </c>
      <c r="K462" s="21">
        <f>IF($I462="","",IFERROR(IF(N(INDEX('Cars'!$J$4:$J$103,MATCH($A462,'Cars'!$A$4:$A$103,0)))&gt;0,ROUND($I462/INDEX('Cars'!$J$4:$J$103,MATCH($A462,'Cars'!$A$4:$A$103,0))*30,0),""),""))</f>
        <v/>
      </c>
      <c r="L462" s="21">
        <f>IF(AND($J462="",$K462=""),"",MIN(IF($J462="",99999,$J462),IF($K462="",99999,$K462)))</f>
        <v/>
      </c>
      <c r="M462" s="16">
        <f>IF(AND($I462="",$J462=""),"",IF(OR(AND($I462&lt;&gt;"",N($I462)&lt;0),AND($J462&lt;&gt;"",N($J462)&lt;0)),"Overdue",IF(OR(AND($I462&lt;&gt;"",N($I462)&lt;=IFERROR(INDEX('Intervals'!$E$4:$E$33,MATCH($B462,'Intervals'!$A$4:$A$33,0)),500)),AND($J462&lt;&gt;"",N($J462)&lt;=IFERROR(INDEX('Intervals'!$F$4:$F$33,MATCH($B462,'Intervals'!$A$4:$A$33,0)),14))),"Due soon","OK")))</f>
        <v/>
      </c>
      <c r="N462" s="15" t="n"/>
      <c r="O462" s="22">
        <f>IF(OR($M462="",$M462="OK"),"",$L462+ROW()/100000)</f>
        <v/>
      </c>
    </row>
    <row r="463">
      <c r="A463" s="15" t="n"/>
      <c r="B463" s="15" t="n"/>
      <c r="C463" s="16">
        <f>IF($B463="","",IFERROR(INDEX('Intervals'!$B$4:$B$33,MATCH($B463,'Intervals'!$A$4:$A$33,0)),""))</f>
        <v/>
      </c>
      <c r="D463" s="17" t="n"/>
      <c r="E463" s="18" t="n"/>
      <c r="F463" s="19">
        <f>IF(OR($B463="",$E463=""),"",IFERROR(IF(AND(INDEX('Intervals'!$G$4:$G$33,MATCH($B463,'Intervals'!$A$4:$A$33,0))&lt;&gt;"No",N(INDEX('Intervals'!$C$4:$C$33,MATCH($B463,'Intervals'!$A$4:$A$33,0)))&gt;0),$E463+N(INDEX('Intervals'!$C$4:$C$33,MATCH($B463,'Intervals'!$A$4:$A$33,0))),""),""))</f>
        <v/>
      </c>
      <c r="G463" s="20">
        <f>IF(OR($B463="",$D463=""),"",IFERROR(IF(AND(INDEX('Intervals'!$G$4:$G$33,MATCH($B463,'Intervals'!$A$4:$A$33,0))&lt;&gt;"No",N(INDEX('Intervals'!$D$4:$D$33,MATCH($B463,'Intervals'!$A$4:$A$33,0)))&gt;0),EDATE($D463,N(INDEX('Intervals'!$D$4:$D$33,MATCH($B463,'Intervals'!$A$4:$A$33,0)))),""),""))</f>
        <v/>
      </c>
      <c r="H463" s="19">
        <f>IF($A463="","",IFERROR(IF(N(INDEX('Cars'!$H$4:$H$103,MATCH($A463,'Cars'!$A$4:$A$103,0)))&gt;0,INDEX('Cars'!$H$4:$H$103,MATCH($A463,'Cars'!$A$4:$A$103,0)),""),""))</f>
        <v/>
      </c>
      <c r="I463" s="19">
        <f>IF(OR($F463="",$H463=""),"",$F463-$H463)</f>
        <v/>
      </c>
      <c r="J463" s="21">
        <f>IF($G463="","",$G463-TODAY())</f>
        <v/>
      </c>
      <c r="K463" s="21">
        <f>IF($I463="","",IFERROR(IF(N(INDEX('Cars'!$J$4:$J$103,MATCH($A463,'Cars'!$A$4:$A$103,0)))&gt;0,ROUND($I463/INDEX('Cars'!$J$4:$J$103,MATCH($A463,'Cars'!$A$4:$A$103,0))*30,0),""),""))</f>
        <v/>
      </c>
      <c r="L463" s="21">
        <f>IF(AND($J463="",$K463=""),"",MIN(IF($J463="",99999,$J463),IF($K463="",99999,$K463)))</f>
        <v/>
      </c>
      <c r="M463" s="16">
        <f>IF(AND($I463="",$J463=""),"",IF(OR(AND($I463&lt;&gt;"",N($I463)&lt;0),AND($J463&lt;&gt;"",N($J463)&lt;0)),"Overdue",IF(OR(AND($I463&lt;&gt;"",N($I463)&lt;=IFERROR(INDEX('Intervals'!$E$4:$E$33,MATCH($B463,'Intervals'!$A$4:$A$33,0)),500)),AND($J463&lt;&gt;"",N($J463)&lt;=IFERROR(INDEX('Intervals'!$F$4:$F$33,MATCH($B463,'Intervals'!$A$4:$A$33,0)),14))),"Due soon","OK")))</f>
        <v/>
      </c>
      <c r="N463" s="15" t="n"/>
      <c r="O463" s="22">
        <f>IF(OR($M463="",$M463="OK"),"",$L463+ROW()/100000)</f>
        <v/>
      </c>
    </row>
    <row r="464">
      <c r="A464" s="15" t="n"/>
      <c r="B464" s="15" t="n"/>
      <c r="C464" s="16">
        <f>IF($B464="","",IFERROR(INDEX('Intervals'!$B$4:$B$33,MATCH($B464,'Intervals'!$A$4:$A$33,0)),""))</f>
        <v/>
      </c>
      <c r="D464" s="17" t="n"/>
      <c r="E464" s="18" t="n"/>
      <c r="F464" s="19">
        <f>IF(OR($B464="",$E464=""),"",IFERROR(IF(AND(INDEX('Intervals'!$G$4:$G$33,MATCH($B464,'Intervals'!$A$4:$A$33,0))&lt;&gt;"No",N(INDEX('Intervals'!$C$4:$C$33,MATCH($B464,'Intervals'!$A$4:$A$33,0)))&gt;0),$E464+N(INDEX('Intervals'!$C$4:$C$33,MATCH($B464,'Intervals'!$A$4:$A$33,0))),""),""))</f>
        <v/>
      </c>
      <c r="G464" s="20">
        <f>IF(OR($B464="",$D464=""),"",IFERROR(IF(AND(INDEX('Intervals'!$G$4:$G$33,MATCH($B464,'Intervals'!$A$4:$A$33,0))&lt;&gt;"No",N(INDEX('Intervals'!$D$4:$D$33,MATCH($B464,'Intervals'!$A$4:$A$33,0)))&gt;0),EDATE($D464,N(INDEX('Intervals'!$D$4:$D$33,MATCH($B464,'Intervals'!$A$4:$A$33,0)))),""),""))</f>
        <v/>
      </c>
      <c r="H464" s="19">
        <f>IF($A464="","",IFERROR(IF(N(INDEX('Cars'!$H$4:$H$103,MATCH($A464,'Cars'!$A$4:$A$103,0)))&gt;0,INDEX('Cars'!$H$4:$H$103,MATCH($A464,'Cars'!$A$4:$A$103,0)),""),""))</f>
        <v/>
      </c>
      <c r="I464" s="19">
        <f>IF(OR($F464="",$H464=""),"",$F464-$H464)</f>
        <v/>
      </c>
      <c r="J464" s="21">
        <f>IF($G464="","",$G464-TODAY())</f>
        <v/>
      </c>
      <c r="K464" s="21">
        <f>IF($I464="","",IFERROR(IF(N(INDEX('Cars'!$J$4:$J$103,MATCH($A464,'Cars'!$A$4:$A$103,0)))&gt;0,ROUND($I464/INDEX('Cars'!$J$4:$J$103,MATCH($A464,'Cars'!$A$4:$A$103,0))*30,0),""),""))</f>
        <v/>
      </c>
      <c r="L464" s="21">
        <f>IF(AND($J464="",$K464=""),"",MIN(IF($J464="",99999,$J464),IF($K464="",99999,$K464)))</f>
        <v/>
      </c>
      <c r="M464" s="16">
        <f>IF(AND($I464="",$J464=""),"",IF(OR(AND($I464&lt;&gt;"",N($I464)&lt;0),AND($J464&lt;&gt;"",N($J464)&lt;0)),"Overdue",IF(OR(AND($I464&lt;&gt;"",N($I464)&lt;=IFERROR(INDEX('Intervals'!$E$4:$E$33,MATCH($B464,'Intervals'!$A$4:$A$33,0)),500)),AND($J464&lt;&gt;"",N($J464)&lt;=IFERROR(INDEX('Intervals'!$F$4:$F$33,MATCH($B464,'Intervals'!$A$4:$A$33,0)),14))),"Due soon","OK")))</f>
        <v/>
      </c>
      <c r="N464" s="15" t="n"/>
      <c r="O464" s="22">
        <f>IF(OR($M464="",$M464="OK"),"",$L464+ROW()/100000)</f>
        <v/>
      </c>
    </row>
    <row r="465">
      <c r="A465" s="15" t="n"/>
      <c r="B465" s="15" t="n"/>
      <c r="C465" s="16">
        <f>IF($B465="","",IFERROR(INDEX('Intervals'!$B$4:$B$33,MATCH($B465,'Intervals'!$A$4:$A$33,0)),""))</f>
        <v/>
      </c>
      <c r="D465" s="17" t="n"/>
      <c r="E465" s="18" t="n"/>
      <c r="F465" s="19">
        <f>IF(OR($B465="",$E465=""),"",IFERROR(IF(AND(INDEX('Intervals'!$G$4:$G$33,MATCH($B465,'Intervals'!$A$4:$A$33,0))&lt;&gt;"No",N(INDEX('Intervals'!$C$4:$C$33,MATCH($B465,'Intervals'!$A$4:$A$33,0)))&gt;0),$E465+N(INDEX('Intervals'!$C$4:$C$33,MATCH($B465,'Intervals'!$A$4:$A$33,0))),""),""))</f>
        <v/>
      </c>
      <c r="G465" s="20">
        <f>IF(OR($B465="",$D465=""),"",IFERROR(IF(AND(INDEX('Intervals'!$G$4:$G$33,MATCH($B465,'Intervals'!$A$4:$A$33,0))&lt;&gt;"No",N(INDEX('Intervals'!$D$4:$D$33,MATCH($B465,'Intervals'!$A$4:$A$33,0)))&gt;0),EDATE($D465,N(INDEX('Intervals'!$D$4:$D$33,MATCH($B465,'Intervals'!$A$4:$A$33,0)))),""),""))</f>
        <v/>
      </c>
      <c r="H465" s="19">
        <f>IF($A465="","",IFERROR(IF(N(INDEX('Cars'!$H$4:$H$103,MATCH($A465,'Cars'!$A$4:$A$103,0)))&gt;0,INDEX('Cars'!$H$4:$H$103,MATCH($A465,'Cars'!$A$4:$A$103,0)),""),""))</f>
        <v/>
      </c>
      <c r="I465" s="19">
        <f>IF(OR($F465="",$H465=""),"",$F465-$H465)</f>
        <v/>
      </c>
      <c r="J465" s="21">
        <f>IF($G465="","",$G465-TODAY())</f>
        <v/>
      </c>
      <c r="K465" s="21">
        <f>IF($I465="","",IFERROR(IF(N(INDEX('Cars'!$J$4:$J$103,MATCH($A465,'Cars'!$A$4:$A$103,0)))&gt;0,ROUND($I465/INDEX('Cars'!$J$4:$J$103,MATCH($A465,'Cars'!$A$4:$A$103,0))*30,0),""),""))</f>
        <v/>
      </c>
      <c r="L465" s="21">
        <f>IF(AND($J465="",$K465=""),"",MIN(IF($J465="",99999,$J465),IF($K465="",99999,$K465)))</f>
        <v/>
      </c>
      <c r="M465" s="16">
        <f>IF(AND($I465="",$J465=""),"",IF(OR(AND($I465&lt;&gt;"",N($I465)&lt;0),AND($J465&lt;&gt;"",N($J465)&lt;0)),"Overdue",IF(OR(AND($I465&lt;&gt;"",N($I465)&lt;=IFERROR(INDEX('Intervals'!$E$4:$E$33,MATCH($B465,'Intervals'!$A$4:$A$33,0)),500)),AND($J465&lt;&gt;"",N($J465)&lt;=IFERROR(INDEX('Intervals'!$F$4:$F$33,MATCH($B465,'Intervals'!$A$4:$A$33,0)),14))),"Due soon","OK")))</f>
        <v/>
      </c>
      <c r="N465" s="15" t="n"/>
      <c r="O465" s="22">
        <f>IF(OR($M465="",$M465="OK"),"",$L465+ROW()/100000)</f>
        <v/>
      </c>
    </row>
    <row r="466">
      <c r="A466" s="15" t="n"/>
      <c r="B466" s="15" t="n"/>
      <c r="C466" s="16">
        <f>IF($B466="","",IFERROR(INDEX('Intervals'!$B$4:$B$33,MATCH($B466,'Intervals'!$A$4:$A$33,0)),""))</f>
        <v/>
      </c>
      <c r="D466" s="17" t="n"/>
      <c r="E466" s="18" t="n"/>
      <c r="F466" s="19">
        <f>IF(OR($B466="",$E466=""),"",IFERROR(IF(AND(INDEX('Intervals'!$G$4:$G$33,MATCH($B466,'Intervals'!$A$4:$A$33,0))&lt;&gt;"No",N(INDEX('Intervals'!$C$4:$C$33,MATCH($B466,'Intervals'!$A$4:$A$33,0)))&gt;0),$E466+N(INDEX('Intervals'!$C$4:$C$33,MATCH($B466,'Intervals'!$A$4:$A$33,0))),""),""))</f>
        <v/>
      </c>
      <c r="G466" s="20">
        <f>IF(OR($B466="",$D466=""),"",IFERROR(IF(AND(INDEX('Intervals'!$G$4:$G$33,MATCH($B466,'Intervals'!$A$4:$A$33,0))&lt;&gt;"No",N(INDEX('Intervals'!$D$4:$D$33,MATCH($B466,'Intervals'!$A$4:$A$33,0)))&gt;0),EDATE($D466,N(INDEX('Intervals'!$D$4:$D$33,MATCH($B466,'Intervals'!$A$4:$A$33,0)))),""),""))</f>
        <v/>
      </c>
      <c r="H466" s="19">
        <f>IF($A466="","",IFERROR(IF(N(INDEX('Cars'!$H$4:$H$103,MATCH($A466,'Cars'!$A$4:$A$103,0)))&gt;0,INDEX('Cars'!$H$4:$H$103,MATCH($A466,'Cars'!$A$4:$A$103,0)),""),""))</f>
        <v/>
      </c>
      <c r="I466" s="19">
        <f>IF(OR($F466="",$H466=""),"",$F466-$H466)</f>
        <v/>
      </c>
      <c r="J466" s="21">
        <f>IF($G466="","",$G466-TODAY())</f>
        <v/>
      </c>
      <c r="K466" s="21">
        <f>IF($I466="","",IFERROR(IF(N(INDEX('Cars'!$J$4:$J$103,MATCH($A466,'Cars'!$A$4:$A$103,0)))&gt;0,ROUND($I466/INDEX('Cars'!$J$4:$J$103,MATCH($A466,'Cars'!$A$4:$A$103,0))*30,0),""),""))</f>
        <v/>
      </c>
      <c r="L466" s="21">
        <f>IF(AND($J466="",$K466=""),"",MIN(IF($J466="",99999,$J466),IF($K466="",99999,$K466)))</f>
        <v/>
      </c>
      <c r="M466" s="16">
        <f>IF(AND($I466="",$J466=""),"",IF(OR(AND($I466&lt;&gt;"",N($I466)&lt;0),AND($J466&lt;&gt;"",N($J466)&lt;0)),"Overdue",IF(OR(AND($I466&lt;&gt;"",N($I466)&lt;=IFERROR(INDEX('Intervals'!$E$4:$E$33,MATCH($B466,'Intervals'!$A$4:$A$33,0)),500)),AND($J466&lt;&gt;"",N($J466)&lt;=IFERROR(INDEX('Intervals'!$F$4:$F$33,MATCH($B466,'Intervals'!$A$4:$A$33,0)),14))),"Due soon","OK")))</f>
        <v/>
      </c>
      <c r="N466" s="15" t="n"/>
      <c r="O466" s="22">
        <f>IF(OR($M466="",$M466="OK"),"",$L466+ROW()/100000)</f>
        <v/>
      </c>
    </row>
    <row r="467">
      <c r="A467" s="15" t="n"/>
      <c r="B467" s="15" t="n"/>
      <c r="C467" s="16">
        <f>IF($B467="","",IFERROR(INDEX('Intervals'!$B$4:$B$33,MATCH($B467,'Intervals'!$A$4:$A$33,0)),""))</f>
        <v/>
      </c>
      <c r="D467" s="17" t="n"/>
      <c r="E467" s="18" t="n"/>
      <c r="F467" s="19">
        <f>IF(OR($B467="",$E467=""),"",IFERROR(IF(AND(INDEX('Intervals'!$G$4:$G$33,MATCH($B467,'Intervals'!$A$4:$A$33,0))&lt;&gt;"No",N(INDEX('Intervals'!$C$4:$C$33,MATCH($B467,'Intervals'!$A$4:$A$33,0)))&gt;0),$E467+N(INDEX('Intervals'!$C$4:$C$33,MATCH($B467,'Intervals'!$A$4:$A$33,0))),""),""))</f>
        <v/>
      </c>
      <c r="G467" s="20">
        <f>IF(OR($B467="",$D467=""),"",IFERROR(IF(AND(INDEX('Intervals'!$G$4:$G$33,MATCH($B467,'Intervals'!$A$4:$A$33,0))&lt;&gt;"No",N(INDEX('Intervals'!$D$4:$D$33,MATCH($B467,'Intervals'!$A$4:$A$33,0)))&gt;0),EDATE($D467,N(INDEX('Intervals'!$D$4:$D$33,MATCH($B467,'Intervals'!$A$4:$A$33,0)))),""),""))</f>
        <v/>
      </c>
      <c r="H467" s="19">
        <f>IF($A467="","",IFERROR(IF(N(INDEX('Cars'!$H$4:$H$103,MATCH($A467,'Cars'!$A$4:$A$103,0)))&gt;0,INDEX('Cars'!$H$4:$H$103,MATCH($A467,'Cars'!$A$4:$A$103,0)),""),""))</f>
        <v/>
      </c>
      <c r="I467" s="19">
        <f>IF(OR($F467="",$H467=""),"",$F467-$H467)</f>
        <v/>
      </c>
      <c r="J467" s="21">
        <f>IF($G467="","",$G467-TODAY())</f>
        <v/>
      </c>
      <c r="K467" s="21">
        <f>IF($I467="","",IFERROR(IF(N(INDEX('Cars'!$J$4:$J$103,MATCH($A467,'Cars'!$A$4:$A$103,0)))&gt;0,ROUND($I467/INDEX('Cars'!$J$4:$J$103,MATCH($A467,'Cars'!$A$4:$A$103,0))*30,0),""),""))</f>
        <v/>
      </c>
      <c r="L467" s="21">
        <f>IF(AND($J467="",$K467=""),"",MIN(IF($J467="",99999,$J467),IF($K467="",99999,$K467)))</f>
        <v/>
      </c>
      <c r="M467" s="16">
        <f>IF(AND($I467="",$J467=""),"",IF(OR(AND($I467&lt;&gt;"",N($I467)&lt;0),AND($J467&lt;&gt;"",N($J467)&lt;0)),"Overdue",IF(OR(AND($I467&lt;&gt;"",N($I467)&lt;=IFERROR(INDEX('Intervals'!$E$4:$E$33,MATCH($B467,'Intervals'!$A$4:$A$33,0)),500)),AND($J467&lt;&gt;"",N($J467)&lt;=IFERROR(INDEX('Intervals'!$F$4:$F$33,MATCH($B467,'Intervals'!$A$4:$A$33,0)),14))),"Due soon","OK")))</f>
        <v/>
      </c>
      <c r="N467" s="15" t="n"/>
      <c r="O467" s="22">
        <f>IF(OR($M467="",$M467="OK"),"",$L467+ROW()/100000)</f>
        <v/>
      </c>
    </row>
    <row r="468">
      <c r="A468" s="15" t="n"/>
      <c r="B468" s="15" t="n"/>
      <c r="C468" s="16">
        <f>IF($B468="","",IFERROR(INDEX('Intervals'!$B$4:$B$33,MATCH($B468,'Intervals'!$A$4:$A$33,0)),""))</f>
        <v/>
      </c>
      <c r="D468" s="17" t="n"/>
      <c r="E468" s="18" t="n"/>
      <c r="F468" s="19">
        <f>IF(OR($B468="",$E468=""),"",IFERROR(IF(AND(INDEX('Intervals'!$G$4:$G$33,MATCH($B468,'Intervals'!$A$4:$A$33,0))&lt;&gt;"No",N(INDEX('Intervals'!$C$4:$C$33,MATCH($B468,'Intervals'!$A$4:$A$33,0)))&gt;0),$E468+N(INDEX('Intervals'!$C$4:$C$33,MATCH($B468,'Intervals'!$A$4:$A$33,0))),""),""))</f>
        <v/>
      </c>
      <c r="G468" s="20">
        <f>IF(OR($B468="",$D468=""),"",IFERROR(IF(AND(INDEX('Intervals'!$G$4:$G$33,MATCH($B468,'Intervals'!$A$4:$A$33,0))&lt;&gt;"No",N(INDEX('Intervals'!$D$4:$D$33,MATCH($B468,'Intervals'!$A$4:$A$33,0)))&gt;0),EDATE($D468,N(INDEX('Intervals'!$D$4:$D$33,MATCH($B468,'Intervals'!$A$4:$A$33,0)))),""),""))</f>
        <v/>
      </c>
      <c r="H468" s="19">
        <f>IF($A468="","",IFERROR(IF(N(INDEX('Cars'!$H$4:$H$103,MATCH($A468,'Cars'!$A$4:$A$103,0)))&gt;0,INDEX('Cars'!$H$4:$H$103,MATCH($A468,'Cars'!$A$4:$A$103,0)),""),""))</f>
        <v/>
      </c>
      <c r="I468" s="19">
        <f>IF(OR($F468="",$H468=""),"",$F468-$H468)</f>
        <v/>
      </c>
      <c r="J468" s="21">
        <f>IF($G468="","",$G468-TODAY())</f>
        <v/>
      </c>
      <c r="K468" s="21">
        <f>IF($I468="","",IFERROR(IF(N(INDEX('Cars'!$J$4:$J$103,MATCH($A468,'Cars'!$A$4:$A$103,0)))&gt;0,ROUND($I468/INDEX('Cars'!$J$4:$J$103,MATCH($A468,'Cars'!$A$4:$A$103,0))*30,0),""),""))</f>
        <v/>
      </c>
      <c r="L468" s="21">
        <f>IF(AND($J468="",$K468=""),"",MIN(IF($J468="",99999,$J468),IF($K468="",99999,$K468)))</f>
        <v/>
      </c>
      <c r="M468" s="16">
        <f>IF(AND($I468="",$J468=""),"",IF(OR(AND($I468&lt;&gt;"",N($I468)&lt;0),AND($J468&lt;&gt;"",N($J468)&lt;0)),"Overdue",IF(OR(AND($I468&lt;&gt;"",N($I468)&lt;=IFERROR(INDEX('Intervals'!$E$4:$E$33,MATCH($B468,'Intervals'!$A$4:$A$33,0)),500)),AND($J468&lt;&gt;"",N($J468)&lt;=IFERROR(INDEX('Intervals'!$F$4:$F$33,MATCH($B468,'Intervals'!$A$4:$A$33,0)),14))),"Due soon","OK")))</f>
        <v/>
      </c>
      <c r="N468" s="15" t="n"/>
      <c r="O468" s="22">
        <f>IF(OR($M468="",$M468="OK"),"",$L468+ROW()/100000)</f>
        <v/>
      </c>
    </row>
    <row r="469">
      <c r="A469" s="15" t="n"/>
      <c r="B469" s="15" t="n"/>
      <c r="C469" s="16">
        <f>IF($B469="","",IFERROR(INDEX('Intervals'!$B$4:$B$33,MATCH($B469,'Intervals'!$A$4:$A$33,0)),""))</f>
        <v/>
      </c>
      <c r="D469" s="17" t="n"/>
      <c r="E469" s="18" t="n"/>
      <c r="F469" s="19">
        <f>IF(OR($B469="",$E469=""),"",IFERROR(IF(AND(INDEX('Intervals'!$G$4:$G$33,MATCH($B469,'Intervals'!$A$4:$A$33,0))&lt;&gt;"No",N(INDEX('Intervals'!$C$4:$C$33,MATCH($B469,'Intervals'!$A$4:$A$33,0)))&gt;0),$E469+N(INDEX('Intervals'!$C$4:$C$33,MATCH($B469,'Intervals'!$A$4:$A$33,0))),""),""))</f>
        <v/>
      </c>
      <c r="G469" s="20">
        <f>IF(OR($B469="",$D469=""),"",IFERROR(IF(AND(INDEX('Intervals'!$G$4:$G$33,MATCH($B469,'Intervals'!$A$4:$A$33,0))&lt;&gt;"No",N(INDEX('Intervals'!$D$4:$D$33,MATCH($B469,'Intervals'!$A$4:$A$33,0)))&gt;0),EDATE($D469,N(INDEX('Intervals'!$D$4:$D$33,MATCH($B469,'Intervals'!$A$4:$A$33,0)))),""),""))</f>
        <v/>
      </c>
      <c r="H469" s="19">
        <f>IF($A469="","",IFERROR(IF(N(INDEX('Cars'!$H$4:$H$103,MATCH($A469,'Cars'!$A$4:$A$103,0)))&gt;0,INDEX('Cars'!$H$4:$H$103,MATCH($A469,'Cars'!$A$4:$A$103,0)),""),""))</f>
        <v/>
      </c>
      <c r="I469" s="19">
        <f>IF(OR($F469="",$H469=""),"",$F469-$H469)</f>
        <v/>
      </c>
      <c r="J469" s="21">
        <f>IF($G469="","",$G469-TODAY())</f>
        <v/>
      </c>
      <c r="K469" s="21">
        <f>IF($I469="","",IFERROR(IF(N(INDEX('Cars'!$J$4:$J$103,MATCH($A469,'Cars'!$A$4:$A$103,0)))&gt;0,ROUND($I469/INDEX('Cars'!$J$4:$J$103,MATCH($A469,'Cars'!$A$4:$A$103,0))*30,0),""),""))</f>
        <v/>
      </c>
      <c r="L469" s="21">
        <f>IF(AND($J469="",$K469=""),"",MIN(IF($J469="",99999,$J469),IF($K469="",99999,$K469)))</f>
        <v/>
      </c>
      <c r="M469" s="16">
        <f>IF(AND($I469="",$J469=""),"",IF(OR(AND($I469&lt;&gt;"",N($I469)&lt;0),AND($J469&lt;&gt;"",N($J469)&lt;0)),"Overdue",IF(OR(AND($I469&lt;&gt;"",N($I469)&lt;=IFERROR(INDEX('Intervals'!$E$4:$E$33,MATCH($B469,'Intervals'!$A$4:$A$33,0)),500)),AND($J469&lt;&gt;"",N($J469)&lt;=IFERROR(INDEX('Intervals'!$F$4:$F$33,MATCH($B469,'Intervals'!$A$4:$A$33,0)),14))),"Due soon","OK")))</f>
        <v/>
      </c>
      <c r="N469" s="15" t="n"/>
      <c r="O469" s="22">
        <f>IF(OR($M469="",$M469="OK"),"",$L469+ROW()/100000)</f>
        <v/>
      </c>
    </row>
    <row r="470">
      <c r="A470" s="15" t="n"/>
      <c r="B470" s="15" t="n"/>
      <c r="C470" s="16">
        <f>IF($B470="","",IFERROR(INDEX('Intervals'!$B$4:$B$33,MATCH($B470,'Intervals'!$A$4:$A$33,0)),""))</f>
        <v/>
      </c>
      <c r="D470" s="17" t="n"/>
      <c r="E470" s="18" t="n"/>
      <c r="F470" s="19">
        <f>IF(OR($B470="",$E470=""),"",IFERROR(IF(AND(INDEX('Intervals'!$G$4:$G$33,MATCH($B470,'Intervals'!$A$4:$A$33,0))&lt;&gt;"No",N(INDEX('Intervals'!$C$4:$C$33,MATCH($B470,'Intervals'!$A$4:$A$33,0)))&gt;0),$E470+N(INDEX('Intervals'!$C$4:$C$33,MATCH($B470,'Intervals'!$A$4:$A$33,0))),""),""))</f>
        <v/>
      </c>
      <c r="G470" s="20">
        <f>IF(OR($B470="",$D470=""),"",IFERROR(IF(AND(INDEX('Intervals'!$G$4:$G$33,MATCH($B470,'Intervals'!$A$4:$A$33,0))&lt;&gt;"No",N(INDEX('Intervals'!$D$4:$D$33,MATCH($B470,'Intervals'!$A$4:$A$33,0)))&gt;0),EDATE($D470,N(INDEX('Intervals'!$D$4:$D$33,MATCH($B470,'Intervals'!$A$4:$A$33,0)))),""),""))</f>
        <v/>
      </c>
      <c r="H470" s="19">
        <f>IF($A470="","",IFERROR(IF(N(INDEX('Cars'!$H$4:$H$103,MATCH($A470,'Cars'!$A$4:$A$103,0)))&gt;0,INDEX('Cars'!$H$4:$H$103,MATCH($A470,'Cars'!$A$4:$A$103,0)),""),""))</f>
        <v/>
      </c>
      <c r="I470" s="19">
        <f>IF(OR($F470="",$H470=""),"",$F470-$H470)</f>
        <v/>
      </c>
      <c r="J470" s="21">
        <f>IF($G470="","",$G470-TODAY())</f>
        <v/>
      </c>
      <c r="K470" s="21">
        <f>IF($I470="","",IFERROR(IF(N(INDEX('Cars'!$J$4:$J$103,MATCH($A470,'Cars'!$A$4:$A$103,0)))&gt;0,ROUND($I470/INDEX('Cars'!$J$4:$J$103,MATCH($A470,'Cars'!$A$4:$A$103,0))*30,0),""),""))</f>
        <v/>
      </c>
      <c r="L470" s="21">
        <f>IF(AND($J470="",$K470=""),"",MIN(IF($J470="",99999,$J470),IF($K470="",99999,$K470)))</f>
        <v/>
      </c>
      <c r="M470" s="16">
        <f>IF(AND($I470="",$J470=""),"",IF(OR(AND($I470&lt;&gt;"",N($I470)&lt;0),AND($J470&lt;&gt;"",N($J470)&lt;0)),"Overdue",IF(OR(AND($I470&lt;&gt;"",N($I470)&lt;=IFERROR(INDEX('Intervals'!$E$4:$E$33,MATCH($B470,'Intervals'!$A$4:$A$33,0)),500)),AND($J470&lt;&gt;"",N($J470)&lt;=IFERROR(INDEX('Intervals'!$F$4:$F$33,MATCH($B470,'Intervals'!$A$4:$A$33,0)),14))),"Due soon","OK")))</f>
        <v/>
      </c>
      <c r="N470" s="15" t="n"/>
      <c r="O470" s="22">
        <f>IF(OR($M470="",$M470="OK"),"",$L470+ROW()/100000)</f>
        <v/>
      </c>
    </row>
    <row r="471">
      <c r="A471" s="15" t="n"/>
      <c r="B471" s="15" t="n"/>
      <c r="C471" s="16">
        <f>IF($B471="","",IFERROR(INDEX('Intervals'!$B$4:$B$33,MATCH($B471,'Intervals'!$A$4:$A$33,0)),""))</f>
        <v/>
      </c>
      <c r="D471" s="17" t="n"/>
      <c r="E471" s="18" t="n"/>
      <c r="F471" s="19">
        <f>IF(OR($B471="",$E471=""),"",IFERROR(IF(AND(INDEX('Intervals'!$G$4:$G$33,MATCH($B471,'Intervals'!$A$4:$A$33,0))&lt;&gt;"No",N(INDEX('Intervals'!$C$4:$C$33,MATCH($B471,'Intervals'!$A$4:$A$33,0)))&gt;0),$E471+N(INDEX('Intervals'!$C$4:$C$33,MATCH($B471,'Intervals'!$A$4:$A$33,0))),""),""))</f>
        <v/>
      </c>
      <c r="G471" s="20">
        <f>IF(OR($B471="",$D471=""),"",IFERROR(IF(AND(INDEX('Intervals'!$G$4:$G$33,MATCH($B471,'Intervals'!$A$4:$A$33,0))&lt;&gt;"No",N(INDEX('Intervals'!$D$4:$D$33,MATCH($B471,'Intervals'!$A$4:$A$33,0)))&gt;0),EDATE($D471,N(INDEX('Intervals'!$D$4:$D$33,MATCH($B471,'Intervals'!$A$4:$A$33,0)))),""),""))</f>
        <v/>
      </c>
      <c r="H471" s="19">
        <f>IF($A471="","",IFERROR(IF(N(INDEX('Cars'!$H$4:$H$103,MATCH($A471,'Cars'!$A$4:$A$103,0)))&gt;0,INDEX('Cars'!$H$4:$H$103,MATCH($A471,'Cars'!$A$4:$A$103,0)),""),""))</f>
        <v/>
      </c>
      <c r="I471" s="19">
        <f>IF(OR($F471="",$H471=""),"",$F471-$H471)</f>
        <v/>
      </c>
      <c r="J471" s="21">
        <f>IF($G471="","",$G471-TODAY())</f>
        <v/>
      </c>
      <c r="K471" s="21">
        <f>IF($I471="","",IFERROR(IF(N(INDEX('Cars'!$J$4:$J$103,MATCH($A471,'Cars'!$A$4:$A$103,0)))&gt;0,ROUND($I471/INDEX('Cars'!$J$4:$J$103,MATCH($A471,'Cars'!$A$4:$A$103,0))*30,0),""),""))</f>
        <v/>
      </c>
      <c r="L471" s="21">
        <f>IF(AND($J471="",$K471=""),"",MIN(IF($J471="",99999,$J471),IF($K471="",99999,$K471)))</f>
        <v/>
      </c>
      <c r="M471" s="16">
        <f>IF(AND($I471="",$J471=""),"",IF(OR(AND($I471&lt;&gt;"",N($I471)&lt;0),AND($J471&lt;&gt;"",N($J471)&lt;0)),"Overdue",IF(OR(AND($I471&lt;&gt;"",N($I471)&lt;=IFERROR(INDEX('Intervals'!$E$4:$E$33,MATCH($B471,'Intervals'!$A$4:$A$33,0)),500)),AND($J471&lt;&gt;"",N($J471)&lt;=IFERROR(INDEX('Intervals'!$F$4:$F$33,MATCH($B471,'Intervals'!$A$4:$A$33,0)),14))),"Due soon","OK")))</f>
        <v/>
      </c>
      <c r="N471" s="15" t="n"/>
      <c r="O471" s="22">
        <f>IF(OR($M471="",$M471="OK"),"",$L471+ROW()/100000)</f>
        <v/>
      </c>
    </row>
    <row r="472">
      <c r="A472" s="15" t="n"/>
      <c r="B472" s="15" t="n"/>
      <c r="C472" s="16">
        <f>IF($B472="","",IFERROR(INDEX('Intervals'!$B$4:$B$33,MATCH($B472,'Intervals'!$A$4:$A$33,0)),""))</f>
        <v/>
      </c>
      <c r="D472" s="17" t="n"/>
      <c r="E472" s="18" t="n"/>
      <c r="F472" s="19">
        <f>IF(OR($B472="",$E472=""),"",IFERROR(IF(AND(INDEX('Intervals'!$G$4:$G$33,MATCH($B472,'Intervals'!$A$4:$A$33,0))&lt;&gt;"No",N(INDEX('Intervals'!$C$4:$C$33,MATCH($B472,'Intervals'!$A$4:$A$33,0)))&gt;0),$E472+N(INDEX('Intervals'!$C$4:$C$33,MATCH($B472,'Intervals'!$A$4:$A$33,0))),""),""))</f>
        <v/>
      </c>
      <c r="G472" s="20">
        <f>IF(OR($B472="",$D472=""),"",IFERROR(IF(AND(INDEX('Intervals'!$G$4:$G$33,MATCH($B472,'Intervals'!$A$4:$A$33,0))&lt;&gt;"No",N(INDEX('Intervals'!$D$4:$D$33,MATCH($B472,'Intervals'!$A$4:$A$33,0)))&gt;0),EDATE($D472,N(INDEX('Intervals'!$D$4:$D$33,MATCH($B472,'Intervals'!$A$4:$A$33,0)))),""),""))</f>
        <v/>
      </c>
      <c r="H472" s="19">
        <f>IF($A472="","",IFERROR(IF(N(INDEX('Cars'!$H$4:$H$103,MATCH($A472,'Cars'!$A$4:$A$103,0)))&gt;0,INDEX('Cars'!$H$4:$H$103,MATCH($A472,'Cars'!$A$4:$A$103,0)),""),""))</f>
        <v/>
      </c>
      <c r="I472" s="19">
        <f>IF(OR($F472="",$H472=""),"",$F472-$H472)</f>
        <v/>
      </c>
      <c r="J472" s="21">
        <f>IF($G472="","",$G472-TODAY())</f>
        <v/>
      </c>
      <c r="K472" s="21">
        <f>IF($I472="","",IFERROR(IF(N(INDEX('Cars'!$J$4:$J$103,MATCH($A472,'Cars'!$A$4:$A$103,0)))&gt;0,ROUND($I472/INDEX('Cars'!$J$4:$J$103,MATCH($A472,'Cars'!$A$4:$A$103,0))*30,0),""),""))</f>
        <v/>
      </c>
      <c r="L472" s="21">
        <f>IF(AND($J472="",$K472=""),"",MIN(IF($J472="",99999,$J472),IF($K472="",99999,$K472)))</f>
        <v/>
      </c>
      <c r="M472" s="16">
        <f>IF(AND($I472="",$J472=""),"",IF(OR(AND($I472&lt;&gt;"",N($I472)&lt;0),AND($J472&lt;&gt;"",N($J472)&lt;0)),"Overdue",IF(OR(AND($I472&lt;&gt;"",N($I472)&lt;=IFERROR(INDEX('Intervals'!$E$4:$E$33,MATCH($B472,'Intervals'!$A$4:$A$33,0)),500)),AND($J472&lt;&gt;"",N($J472)&lt;=IFERROR(INDEX('Intervals'!$F$4:$F$33,MATCH($B472,'Intervals'!$A$4:$A$33,0)),14))),"Due soon","OK")))</f>
        <v/>
      </c>
      <c r="N472" s="15" t="n"/>
      <c r="O472" s="22">
        <f>IF(OR($M472="",$M472="OK"),"",$L472+ROW()/100000)</f>
        <v/>
      </c>
    </row>
    <row r="473">
      <c r="A473" s="15" t="n"/>
      <c r="B473" s="15" t="n"/>
      <c r="C473" s="16">
        <f>IF($B473="","",IFERROR(INDEX('Intervals'!$B$4:$B$33,MATCH($B473,'Intervals'!$A$4:$A$33,0)),""))</f>
        <v/>
      </c>
      <c r="D473" s="17" t="n"/>
      <c r="E473" s="18" t="n"/>
      <c r="F473" s="19">
        <f>IF(OR($B473="",$E473=""),"",IFERROR(IF(AND(INDEX('Intervals'!$G$4:$G$33,MATCH($B473,'Intervals'!$A$4:$A$33,0))&lt;&gt;"No",N(INDEX('Intervals'!$C$4:$C$33,MATCH($B473,'Intervals'!$A$4:$A$33,0)))&gt;0),$E473+N(INDEX('Intervals'!$C$4:$C$33,MATCH($B473,'Intervals'!$A$4:$A$33,0))),""),""))</f>
        <v/>
      </c>
      <c r="G473" s="20">
        <f>IF(OR($B473="",$D473=""),"",IFERROR(IF(AND(INDEX('Intervals'!$G$4:$G$33,MATCH($B473,'Intervals'!$A$4:$A$33,0))&lt;&gt;"No",N(INDEX('Intervals'!$D$4:$D$33,MATCH($B473,'Intervals'!$A$4:$A$33,0)))&gt;0),EDATE($D473,N(INDEX('Intervals'!$D$4:$D$33,MATCH($B473,'Intervals'!$A$4:$A$33,0)))),""),""))</f>
        <v/>
      </c>
      <c r="H473" s="19">
        <f>IF($A473="","",IFERROR(IF(N(INDEX('Cars'!$H$4:$H$103,MATCH($A473,'Cars'!$A$4:$A$103,0)))&gt;0,INDEX('Cars'!$H$4:$H$103,MATCH($A473,'Cars'!$A$4:$A$103,0)),""),""))</f>
        <v/>
      </c>
      <c r="I473" s="19">
        <f>IF(OR($F473="",$H473=""),"",$F473-$H473)</f>
        <v/>
      </c>
      <c r="J473" s="21">
        <f>IF($G473="","",$G473-TODAY())</f>
        <v/>
      </c>
      <c r="K473" s="21">
        <f>IF($I473="","",IFERROR(IF(N(INDEX('Cars'!$J$4:$J$103,MATCH($A473,'Cars'!$A$4:$A$103,0)))&gt;0,ROUND($I473/INDEX('Cars'!$J$4:$J$103,MATCH($A473,'Cars'!$A$4:$A$103,0))*30,0),""),""))</f>
        <v/>
      </c>
      <c r="L473" s="21">
        <f>IF(AND($J473="",$K473=""),"",MIN(IF($J473="",99999,$J473),IF($K473="",99999,$K473)))</f>
        <v/>
      </c>
      <c r="M473" s="16">
        <f>IF(AND($I473="",$J473=""),"",IF(OR(AND($I473&lt;&gt;"",N($I473)&lt;0),AND($J473&lt;&gt;"",N($J473)&lt;0)),"Overdue",IF(OR(AND($I473&lt;&gt;"",N($I473)&lt;=IFERROR(INDEX('Intervals'!$E$4:$E$33,MATCH($B473,'Intervals'!$A$4:$A$33,0)),500)),AND($J473&lt;&gt;"",N($J473)&lt;=IFERROR(INDEX('Intervals'!$F$4:$F$33,MATCH($B473,'Intervals'!$A$4:$A$33,0)),14))),"Due soon","OK")))</f>
        <v/>
      </c>
      <c r="N473" s="15" t="n"/>
      <c r="O473" s="22">
        <f>IF(OR($M473="",$M473="OK"),"",$L473+ROW()/100000)</f>
        <v/>
      </c>
    </row>
    <row r="474">
      <c r="A474" s="15" t="n"/>
      <c r="B474" s="15" t="n"/>
      <c r="C474" s="16">
        <f>IF($B474="","",IFERROR(INDEX('Intervals'!$B$4:$B$33,MATCH($B474,'Intervals'!$A$4:$A$33,0)),""))</f>
        <v/>
      </c>
      <c r="D474" s="17" t="n"/>
      <c r="E474" s="18" t="n"/>
      <c r="F474" s="19">
        <f>IF(OR($B474="",$E474=""),"",IFERROR(IF(AND(INDEX('Intervals'!$G$4:$G$33,MATCH($B474,'Intervals'!$A$4:$A$33,0))&lt;&gt;"No",N(INDEX('Intervals'!$C$4:$C$33,MATCH($B474,'Intervals'!$A$4:$A$33,0)))&gt;0),$E474+N(INDEX('Intervals'!$C$4:$C$33,MATCH($B474,'Intervals'!$A$4:$A$33,0))),""),""))</f>
        <v/>
      </c>
      <c r="G474" s="20">
        <f>IF(OR($B474="",$D474=""),"",IFERROR(IF(AND(INDEX('Intervals'!$G$4:$G$33,MATCH($B474,'Intervals'!$A$4:$A$33,0))&lt;&gt;"No",N(INDEX('Intervals'!$D$4:$D$33,MATCH($B474,'Intervals'!$A$4:$A$33,0)))&gt;0),EDATE($D474,N(INDEX('Intervals'!$D$4:$D$33,MATCH($B474,'Intervals'!$A$4:$A$33,0)))),""),""))</f>
        <v/>
      </c>
      <c r="H474" s="19">
        <f>IF($A474="","",IFERROR(IF(N(INDEX('Cars'!$H$4:$H$103,MATCH($A474,'Cars'!$A$4:$A$103,0)))&gt;0,INDEX('Cars'!$H$4:$H$103,MATCH($A474,'Cars'!$A$4:$A$103,0)),""),""))</f>
        <v/>
      </c>
      <c r="I474" s="19">
        <f>IF(OR($F474="",$H474=""),"",$F474-$H474)</f>
        <v/>
      </c>
      <c r="J474" s="21">
        <f>IF($G474="","",$G474-TODAY())</f>
        <v/>
      </c>
      <c r="K474" s="21">
        <f>IF($I474="","",IFERROR(IF(N(INDEX('Cars'!$J$4:$J$103,MATCH($A474,'Cars'!$A$4:$A$103,0)))&gt;0,ROUND($I474/INDEX('Cars'!$J$4:$J$103,MATCH($A474,'Cars'!$A$4:$A$103,0))*30,0),""),""))</f>
        <v/>
      </c>
      <c r="L474" s="21">
        <f>IF(AND($J474="",$K474=""),"",MIN(IF($J474="",99999,$J474),IF($K474="",99999,$K474)))</f>
        <v/>
      </c>
      <c r="M474" s="16">
        <f>IF(AND($I474="",$J474=""),"",IF(OR(AND($I474&lt;&gt;"",N($I474)&lt;0),AND($J474&lt;&gt;"",N($J474)&lt;0)),"Overdue",IF(OR(AND($I474&lt;&gt;"",N($I474)&lt;=IFERROR(INDEX('Intervals'!$E$4:$E$33,MATCH($B474,'Intervals'!$A$4:$A$33,0)),500)),AND($J474&lt;&gt;"",N($J474)&lt;=IFERROR(INDEX('Intervals'!$F$4:$F$33,MATCH($B474,'Intervals'!$A$4:$A$33,0)),14))),"Due soon","OK")))</f>
        <v/>
      </c>
      <c r="N474" s="15" t="n"/>
      <c r="O474" s="22">
        <f>IF(OR($M474="",$M474="OK"),"",$L474+ROW()/100000)</f>
        <v/>
      </c>
    </row>
    <row r="475">
      <c r="A475" s="15" t="n"/>
      <c r="B475" s="15" t="n"/>
      <c r="C475" s="16">
        <f>IF($B475="","",IFERROR(INDEX('Intervals'!$B$4:$B$33,MATCH($B475,'Intervals'!$A$4:$A$33,0)),""))</f>
        <v/>
      </c>
      <c r="D475" s="17" t="n"/>
      <c r="E475" s="18" t="n"/>
      <c r="F475" s="19">
        <f>IF(OR($B475="",$E475=""),"",IFERROR(IF(AND(INDEX('Intervals'!$G$4:$G$33,MATCH($B475,'Intervals'!$A$4:$A$33,0))&lt;&gt;"No",N(INDEX('Intervals'!$C$4:$C$33,MATCH($B475,'Intervals'!$A$4:$A$33,0)))&gt;0),$E475+N(INDEX('Intervals'!$C$4:$C$33,MATCH($B475,'Intervals'!$A$4:$A$33,0))),""),""))</f>
        <v/>
      </c>
      <c r="G475" s="20">
        <f>IF(OR($B475="",$D475=""),"",IFERROR(IF(AND(INDEX('Intervals'!$G$4:$G$33,MATCH($B475,'Intervals'!$A$4:$A$33,0))&lt;&gt;"No",N(INDEX('Intervals'!$D$4:$D$33,MATCH($B475,'Intervals'!$A$4:$A$33,0)))&gt;0),EDATE($D475,N(INDEX('Intervals'!$D$4:$D$33,MATCH($B475,'Intervals'!$A$4:$A$33,0)))),""),""))</f>
        <v/>
      </c>
      <c r="H475" s="19">
        <f>IF($A475="","",IFERROR(IF(N(INDEX('Cars'!$H$4:$H$103,MATCH($A475,'Cars'!$A$4:$A$103,0)))&gt;0,INDEX('Cars'!$H$4:$H$103,MATCH($A475,'Cars'!$A$4:$A$103,0)),""),""))</f>
        <v/>
      </c>
      <c r="I475" s="19">
        <f>IF(OR($F475="",$H475=""),"",$F475-$H475)</f>
        <v/>
      </c>
      <c r="J475" s="21">
        <f>IF($G475="","",$G475-TODAY())</f>
        <v/>
      </c>
      <c r="K475" s="21">
        <f>IF($I475="","",IFERROR(IF(N(INDEX('Cars'!$J$4:$J$103,MATCH($A475,'Cars'!$A$4:$A$103,0)))&gt;0,ROUND($I475/INDEX('Cars'!$J$4:$J$103,MATCH($A475,'Cars'!$A$4:$A$103,0))*30,0),""),""))</f>
        <v/>
      </c>
      <c r="L475" s="21">
        <f>IF(AND($J475="",$K475=""),"",MIN(IF($J475="",99999,$J475),IF($K475="",99999,$K475)))</f>
        <v/>
      </c>
      <c r="M475" s="16">
        <f>IF(AND($I475="",$J475=""),"",IF(OR(AND($I475&lt;&gt;"",N($I475)&lt;0),AND($J475&lt;&gt;"",N($J475)&lt;0)),"Overdue",IF(OR(AND($I475&lt;&gt;"",N($I475)&lt;=IFERROR(INDEX('Intervals'!$E$4:$E$33,MATCH($B475,'Intervals'!$A$4:$A$33,0)),500)),AND($J475&lt;&gt;"",N($J475)&lt;=IFERROR(INDEX('Intervals'!$F$4:$F$33,MATCH($B475,'Intervals'!$A$4:$A$33,0)),14))),"Due soon","OK")))</f>
        <v/>
      </c>
      <c r="N475" s="15" t="n"/>
      <c r="O475" s="22">
        <f>IF(OR($M475="",$M475="OK"),"",$L475+ROW()/100000)</f>
        <v/>
      </c>
    </row>
    <row r="476">
      <c r="A476" s="15" t="n"/>
      <c r="B476" s="15" t="n"/>
      <c r="C476" s="16">
        <f>IF($B476="","",IFERROR(INDEX('Intervals'!$B$4:$B$33,MATCH($B476,'Intervals'!$A$4:$A$33,0)),""))</f>
        <v/>
      </c>
      <c r="D476" s="17" t="n"/>
      <c r="E476" s="18" t="n"/>
      <c r="F476" s="19">
        <f>IF(OR($B476="",$E476=""),"",IFERROR(IF(AND(INDEX('Intervals'!$G$4:$G$33,MATCH($B476,'Intervals'!$A$4:$A$33,0))&lt;&gt;"No",N(INDEX('Intervals'!$C$4:$C$33,MATCH($B476,'Intervals'!$A$4:$A$33,0)))&gt;0),$E476+N(INDEX('Intervals'!$C$4:$C$33,MATCH($B476,'Intervals'!$A$4:$A$33,0))),""),""))</f>
        <v/>
      </c>
      <c r="G476" s="20">
        <f>IF(OR($B476="",$D476=""),"",IFERROR(IF(AND(INDEX('Intervals'!$G$4:$G$33,MATCH($B476,'Intervals'!$A$4:$A$33,0))&lt;&gt;"No",N(INDEX('Intervals'!$D$4:$D$33,MATCH($B476,'Intervals'!$A$4:$A$33,0)))&gt;0),EDATE($D476,N(INDEX('Intervals'!$D$4:$D$33,MATCH($B476,'Intervals'!$A$4:$A$33,0)))),""),""))</f>
        <v/>
      </c>
      <c r="H476" s="19">
        <f>IF($A476="","",IFERROR(IF(N(INDEX('Cars'!$H$4:$H$103,MATCH($A476,'Cars'!$A$4:$A$103,0)))&gt;0,INDEX('Cars'!$H$4:$H$103,MATCH($A476,'Cars'!$A$4:$A$103,0)),""),""))</f>
        <v/>
      </c>
      <c r="I476" s="19">
        <f>IF(OR($F476="",$H476=""),"",$F476-$H476)</f>
        <v/>
      </c>
      <c r="J476" s="21">
        <f>IF($G476="","",$G476-TODAY())</f>
        <v/>
      </c>
      <c r="K476" s="21">
        <f>IF($I476="","",IFERROR(IF(N(INDEX('Cars'!$J$4:$J$103,MATCH($A476,'Cars'!$A$4:$A$103,0)))&gt;0,ROUND($I476/INDEX('Cars'!$J$4:$J$103,MATCH($A476,'Cars'!$A$4:$A$103,0))*30,0),""),""))</f>
        <v/>
      </c>
      <c r="L476" s="21">
        <f>IF(AND($J476="",$K476=""),"",MIN(IF($J476="",99999,$J476),IF($K476="",99999,$K476)))</f>
        <v/>
      </c>
      <c r="M476" s="16">
        <f>IF(AND($I476="",$J476=""),"",IF(OR(AND($I476&lt;&gt;"",N($I476)&lt;0),AND($J476&lt;&gt;"",N($J476)&lt;0)),"Overdue",IF(OR(AND($I476&lt;&gt;"",N($I476)&lt;=IFERROR(INDEX('Intervals'!$E$4:$E$33,MATCH($B476,'Intervals'!$A$4:$A$33,0)),500)),AND($J476&lt;&gt;"",N($J476)&lt;=IFERROR(INDEX('Intervals'!$F$4:$F$33,MATCH($B476,'Intervals'!$A$4:$A$33,0)),14))),"Due soon","OK")))</f>
        <v/>
      </c>
      <c r="N476" s="15" t="n"/>
      <c r="O476" s="22">
        <f>IF(OR($M476="",$M476="OK"),"",$L476+ROW()/100000)</f>
        <v/>
      </c>
    </row>
    <row r="477">
      <c r="A477" s="15" t="n"/>
      <c r="B477" s="15" t="n"/>
      <c r="C477" s="16">
        <f>IF($B477="","",IFERROR(INDEX('Intervals'!$B$4:$B$33,MATCH($B477,'Intervals'!$A$4:$A$33,0)),""))</f>
        <v/>
      </c>
      <c r="D477" s="17" t="n"/>
      <c r="E477" s="18" t="n"/>
      <c r="F477" s="19">
        <f>IF(OR($B477="",$E477=""),"",IFERROR(IF(AND(INDEX('Intervals'!$G$4:$G$33,MATCH($B477,'Intervals'!$A$4:$A$33,0))&lt;&gt;"No",N(INDEX('Intervals'!$C$4:$C$33,MATCH($B477,'Intervals'!$A$4:$A$33,0)))&gt;0),$E477+N(INDEX('Intervals'!$C$4:$C$33,MATCH($B477,'Intervals'!$A$4:$A$33,0))),""),""))</f>
        <v/>
      </c>
      <c r="G477" s="20">
        <f>IF(OR($B477="",$D477=""),"",IFERROR(IF(AND(INDEX('Intervals'!$G$4:$G$33,MATCH($B477,'Intervals'!$A$4:$A$33,0))&lt;&gt;"No",N(INDEX('Intervals'!$D$4:$D$33,MATCH($B477,'Intervals'!$A$4:$A$33,0)))&gt;0),EDATE($D477,N(INDEX('Intervals'!$D$4:$D$33,MATCH($B477,'Intervals'!$A$4:$A$33,0)))),""),""))</f>
        <v/>
      </c>
      <c r="H477" s="19">
        <f>IF($A477="","",IFERROR(IF(N(INDEX('Cars'!$H$4:$H$103,MATCH($A477,'Cars'!$A$4:$A$103,0)))&gt;0,INDEX('Cars'!$H$4:$H$103,MATCH($A477,'Cars'!$A$4:$A$103,0)),""),""))</f>
        <v/>
      </c>
      <c r="I477" s="19">
        <f>IF(OR($F477="",$H477=""),"",$F477-$H477)</f>
        <v/>
      </c>
      <c r="J477" s="21">
        <f>IF($G477="","",$G477-TODAY())</f>
        <v/>
      </c>
      <c r="K477" s="21">
        <f>IF($I477="","",IFERROR(IF(N(INDEX('Cars'!$J$4:$J$103,MATCH($A477,'Cars'!$A$4:$A$103,0)))&gt;0,ROUND($I477/INDEX('Cars'!$J$4:$J$103,MATCH($A477,'Cars'!$A$4:$A$103,0))*30,0),""),""))</f>
        <v/>
      </c>
      <c r="L477" s="21">
        <f>IF(AND($J477="",$K477=""),"",MIN(IF($J477="",99999,$J477),IF($K477="",99999,$K477)))</f>
        <v/>
      </c>
      <c r="M477" s="16">
        <f>IF(AND($I477="",$J477=""),"",IF(OR(AND($I477&lt;&gt;"",N($I477)&lt;0),AND($J477&lt;&gt;"",N($J477)&lt;0)),"Overdue",IF(OR(AND($I477&lt;&gt;"",N($I477)&lt;=IFERROR(INDEX('Intervals'!$E$4:$E$33,MATCH($B477,'Intervals'!$A$4:$A$33,0)),500)),AND($J477&lt;&gt;"",N($J477)&lt;=IFERROR(INDEX('Intervals'!$F$4:$F$33,MATCH($B477,'Intervals'!$A$4:$A$33,0)),14))),"Due soon","OK")))</f>
        <v/>
      </c>
      <c r="N477" s="15" t="n"/>
      <c r="O477" s="22">
        <f>IF(OR($M477="",$M477="OK"),"",$L477+ROW()/100000)</f>
        <v/>
      </c>
    </row>
    <row r="478">
      <c r="A478" s="15" t="n"/>
      <c r="B478" s="15" t="n"/>
      <c r="C478" s="16">
        <f>IF($B478="","",IFERROR(INDEX('Intervals'!$B$4:$B$33,MATCH($B478,'Intervals'!$A$4:$A$33,0)),""))</f>
        <v/>
      </c>
      <c r="D478" s="17" t="n"/>
      <c r="E478" s="18" t="n"/>
      <c r="F478" s="19">
        <f>IF(OR($B478="",$E478=""),"",IFERROR(IF(AND(INDEX('Intervals'!$G$4:$G$33,MATCH($B478,'Intervals'!$A$4:$A$33,0))&lt;&gt;"No",N(INDEX('Intervals'!$C$4:$C$33,MATCH($B478,'Intervals'!$A$4:$A$33,0)))&gt;0),$E478+N(INDEX('Intervals'!$C$4:$C$33,MATCH($B478,'Intervals'!$A$4:$A$33,0))),""),""))</f>
        <v/>
      </c>
      <c r="G478" s="20">
        <f>IF(OR($B478="",$D478=""),"",IFERROR(IF(AND(INDEX('Intervals'!$G$4:$G$33,MATCH($B478,'Intervals'!$A$4:$A$33,0))&lt;&gt;"No",N(INDEX('Intervals'!$D$4:$D$33,MATCH($B478,'Intervals'!$A$4:$A$33,0)))&gt;0),EDATE($D478,N(INDEX('Intervals'!$D$4:$D$33,MATCH($B478,'Intervals'!$A$4:$A$33,0)))),""),""))</f>
        <v/>
      </c>
      <c r="H478" s="19">
        <f>IF($A478="","",IFERROR(IF(N(INDEX('Cars'!$H$4:$H$103,MATCH($A478,'Cars'!$A$4:$A$103,0)))&gt;0,INDEX('Cars'!$H$4:$H$103,MATCH($A478,'Cars'!$A$4:$A$103,0)),""),""))</f>
        <v/>
      </c>
      <c r="I478" s="19">
        <f>IF(OR($F478="",$H478=""),"",$F478-$H478)</f>
        <v/>
      </c>
      <c r="J478" s="21">
        <f>IF($G478="","",$G478-TODAY())</f>
        <v/>
      </c>
      <c r="K478" s="21">
        <f>IF($I478="","",IFERROR(IF(N(INDEX('Cars'!$J$4:$J$103,MATCH($A478,'Cars'!$A$4:$A$103,0)))&gt;0,ROUND($I478/INDEX('Cars'!$J$4:$J$103,MATCH($A478,'Cars'!$A$4:$A$103,0))*30,0),""),""))</f>
        <v/>
      </c>
      <c r="L478" s="21">
        <f>IF(AND($J478="",$K478=""),"",MIN(IF($J478="",99999,$J478),IF($K478="",99999,$K478)))</f>
        <v/>
      </c>
      <c r="M478" s="16">
        <f>IF(AND($I478="",$J478=""),"",IF(OR(AND($I478&lt;&gt;"",N($I478)&lt;0),AND($J478&lt;&gt;"",N($J478)&lt;0)),"Overdue",IF(OR(AND($I478&lt;&gt;"",N($I478)&lt;=IFERROR(INDEX('Intervals'!$E$4:$E$33,MATCH($B478,'Intervals'!$A$4:$A$33,0)),500)),AND($J478&lt;&gt;"",N($J478)&lt;=IFERROR(INDEX('Intervals'!$F$4:$F$33,MATCH($B478,'Intervals'!$A$4:$A$33,0)),14))),"Due soon","OK")))</f>
        <v/>
      </c>
      <c r="N478" s="15" t="n"/>
      <c r="O478" s="22">
        <f>IF(OR($M478="",$M478="OK"),"",$L478+ROW()/100000)</f>
        <v/>
      </c>
    </row>
    <row r="479">
      <c r="A479" s="15" t="n"/>
      <c r="B479" s="15" t="n"/>
      <c r="C479" s="16">
        <f>IF($B479="","",IFERROR(INDEX('Intervals'!$B$4:$B$33,MATCH($B479,'Intervals'!$A$4:$A$33,0)),""))</f>
        <v/>
      </c>
      <c r="D479" s="17" t="n"/>
      <c r="E479" s="18" t="n"/>
      <c r="F479" s="19">
        <f>IF(OR($B479="",$E479=""),"",IFERROR(IF(AND(INDEX('Intervals'!$G$4:$G$33,MATCH($B479,'Intervals'!$A$4:$A$33,0))&lt;&gt;"No",N(INDEX('Intervals'!$C$4:$C$33,MATCH($B479,'Intervals'!$A$4:$A$33,0)))&gt;0),$E479+N(INDEX('Intervals'!$C$4:$C$33,MATCH($B479,'Intervals'!$A$4:$A$33,0))),""),""))</f>
        <v/>
      </c>
      <c r="G479" s="20">
        <f>IF(OR($B479="",$D479=""),"",IFERROR(IF(AND(INDEX('Intervals'!$G$4:$G$33,MATCH($B479,'Intervals'!$A$4:$A$33,0))&lt;&gt;"No",N(INDEX('Intervals'!$D$4:$D$33,MATCH($B479,'Intervals'!$A$4:$A$33,0)))&gt;0),EDATE($D479,N(INDEX('Intervals'!$D$4:$D$33,MATCH($B479,'Intervals'!$A$4:$A$33,0)))),""),""))</f>
        <v/>
      </c>
      <c r="H479" s="19">
        <f>IF($A479="","",IFERROR(IF(N(INDEX('Cars'!$H$4:$H$103,MATCH($A479,'Cars'!$A$4:$A$103,0)))&gt;0,INDEX('Cars'!$H$4:$H$103,MATCH($A479,'Cars'!$A$4:$A$103,0)),""),""))</f>
        <v/>
      </c>
      <c r="I479" s="19">
        <f>IF(OR($F479="",$H479=""),"",$F479-$H479)</f>
        <v/>
      </c>
      <c r="J479" s="21">
        <f>IF($G479="","",$G479-TODAY())</f>
        <v/>
      </c>
      <c r="K479" s="21">
        <f>IF($I479="","",IFERROR(IF(N(INDEX('Cars'!$J$4:$J$103,MATCH($A479,'Cars'!$A$4:$A$103,0)))&gt;0,ROUND($I479/INDEX('Cars'!$J$4:$J$103,MATCH($A479,'Cars'!$A$4:$A$103,0))*30,0),""),""))</f>
        <v/>
      </c>
      <c r="L479" s="21">
        <f>IF(AND($J479="",$K479=""),"",MIN(IF($J479="",99999,$J479),IF($K479="",99999,$K479)))</f>
        <v/>
      </c>
      <c r="M479" s="16">
        <f>IF(AND($I479="",$J479=""),"",IF(OR(AND($I479&lt;&gt;"",N($I479)&lt;0),AND($J479&lt;&gt;"",N($J479)&lt;0)),"Overdue",IF(OR(AND($I479&lt;&gt;"",N($I479)&lt;=IFERROR(INDEX('Intervals'!$E$4:$E$33,MATCH($B479,'Intervals'!$A$4:$A$33,0)),500)),AND($J479&lt;&gt;"",N($J479)&lt;=IFERROR(INDEX('Intervals'!$F$4:$F$33,MATCH($B479,'Intervals'!$A$4:$A$33,0)),14))),"Due soon","OK")))</f>
        <v/>
      </c>
      <c r="N479" s="15" t="n"/>
      <c r="O479" s="22">
        <f>IF(OR($M479="",$M479="OK"),"",$L479+ROW()/100000)</f>
        <v/>
      </c>
    </row>
    <row r="480">
      <c r="A480" s="15" t="n"/>
      <c r="B480" s="15" t="n"/>
      <c r="C480" s="16">
        <f>IF($B480="","",IFERROR(INDEX('Intervals'!$B$4:$B$33,MATCH($B480,'Intervals'!$A$4:$A$33,0)),""))</f>
        <v/>
      </c>
      <c r="D480" s="17" t="n"/>
      <c r="E480" s="18" t="n"/>
      <c r="F480" s="19">
        <f>IF(OR($B480="",$E480=""),"",IFERROR(IF(AND(INDEX('Intervals'!$G$4:$G$33,MATCH($B480,'Intervals'!$A$4:$A$33,0))&lt;&gt;"No",N(INDEX('Intervals'!$C$4:$C$33,MATCH($B480,'Intervals'!$A$4:$A$33,0)))&gt;0),$E480+N(INDEX('Intervals'!$C$4:$C$33,MATCH($B480,'Intervals'!$A$4:$A$33,0))),""),""))</f>
        <v/>
      </c>
      <c r="G480" s="20">
        <f>IF(OR($B480="",$D480=""),"",IFERROR(IF(AND(INDEX('Intervals'!$G$4:$G$33,MATCH($B480,'Intervals'!$A$4:$A$33,0))&lt;&gt;"No",N(INDEX('Intervals'!$D$4:$D$33,MATCH($B480,'Intervals'!$A$4:$A$33,0)))&gt;0),EDATE($D480,N(INDEX('Intervals'!$D$4:$D$33,MATCH($B480,'Intervals'!$A$4:$A$33,0)))),""),""))</f>
        <v/>
      </c>
      <c r="H480" s="19">
        <f>IF($A480="","",IFERROR(IF(N(INDEX('Cars'!$H$4:$H$103,MATCH($A480,'Cars'!$A$4:$A$103,0)))&gt;0,INDEX('Cars'!$H$4:$H$103,MATCH($A480,'Cars'!$A$4:$A$103,0)),""),""))</f>
        <v/>
      </c>
      <c r="I480" s="19">
        <f>IF(OR($F480="",$H480=""),"",$F480-$H480)</f>
        <v/>
      </c>
      <c r="J480" s="21">
        <f>IF($G480="","",$G480-TODAY())</f>
        <v/>
      </c>
      <c r="K480" s="21">
        <f>IF($I480="","",IFERROR(IF(N(INDEX('Cars'!$J$4:$J$103,MATCH($A480,'Cars'!$A$4:$A$103,0)))&gt;0,ROUND($I480/INDEX('Cars'!$J$4:$J$103,MATCH($A480,'Cars'!$A$4:$A$103,0))*30,0),""),""))</f>
        <v/>
      </c>
      <c r="L480" s="21">
        <f>IF(AND($J480="",$K480=""),"",MIN(IF($J480="",99999,$J480),IF($K480="",99999,$K480)))</f>
        <v/>
      </c>
      <c r="M480" s="16">
        <f>IF(AND($I480="",$J480=""),"",IF(OR(AND($I480&lt;&gt;"",N($I480)&lt;0),AND($J480&lt;&gt;"",N($J480)&lt;0)),"Overdue",IF(OR(AND($I480&lt;&gt;"",N($I480)&lt;=IFERROR(INDEX('Intervals'!$E$4:$E$33,MATCH($B480,'Intervals'!$A$4:$A$33,0)),500)),AND($J480&lt;&gt;"",N($J480)&lt;=IFERROR(INDEX('Intervals'!$F$4:$F$33,MATCH($B480,'Intervals'!$A$4:$A$33,0)),14))),"Due soon","OK")))</f>
        <v/>
      </c>
      <c r="N480" s="15" t="n"/>
      <c r="O480" s="22">
        <f>IF(OR($M480="",$M480="OK"),"",$L480+ROW()/100000)</f>
        <v/>
      </c>
    </row>
    <row r="481">
      <c r="A481" s="15" t="n"/>
      <c r="B481" s="15" t="n"/>
      <c r="C481" s="16">
        <f>IF($B481="","",IFERROR(INDEX('Intervals'!$B$4:$B$33,MATCH($B481,'Intervals'!$A$4:$A$33,0)),""))</f>
        <v/>
      </c>
      <c r="D481" s="17" t="n"/>
      <c r="E481" s="18" t="n"/>
      <c r="F481" s="19">
        <f>IF(OR($B481="",$E481=""),"",IFERROR(IF(AND(INDEX('Intervals'!$G$4:$G$33,MATCH($B481,'Intervals'!$A$4:$A$33,0))&lt;&gt;"No",N(INDEX('Intervals'!$C$4:$C$33,MATCH($B481,'Intervals'!$A$4:$A$33,0)))&gt;0),$E481+N(INDEX('Intervals'!$C$4:$C$33,MATCH($B481,'Intervals'!$A$4:$A$33,0))),""),""))</f>
        <v/>
      </c>
      <c r="G481" s="20">
        <f>IF(OR($B481="",$D481=""),"",IFERROR(IF(AND(INDEX('Intervals'!$G$4:$G$33,MATCH($B481,'Intervals'!$A$4:$A$33,0))&lt;&gt;"No",N(INDEX('Intervals'!$D$4:$D$33,MATCH($B481,'Intervals'!$A$4:$A$33,0)))&gt;0),EDATE($D481,N(INDEX('Intervals'!$D$4:$D$33,MATCH($B481,'Intervals'!$A$4:$A$33,0)))),""),""))</f>
        <v/>
      </c>
      <c r="H481" s="19">
        <f>IF($A481="","",IFERROR(IF(N(INDEX('Cars'!$H$4:$H$103,MATCH($A481,'Cars'!$A$4:$A$103,0)))&gt;0,INDEX('Cars'!$H$4:$H$103,MATCH($A481,'Cars'!$A$4:$A$103,0)),""),""))</f>
        <v/>
      </c>
      <c r="I481" s="19">
        <f>IF(OR($F481="",$H481=""),"",$F481-$H481)</f>
        <v/>
      </c>
      <c r="J481" s="21">
        <f>IF($G481="","",$G481-TODAY())</f>
        <v/>
      </c>
      <c r="K481" s="21">
        <f>IF($I481="","",IFERROR(IF(N(INDEX('Cars'!$J$4:$J$103,MATCH($A481,'Cars'!$A$4:$A$103,0)))&gt;0,ROUND($I481/INDEX('Cars'!$J$4:$J$103,MATCH($A481,'Cars'!$A$4:$A$103,0))*30,0),""),""))</f>
        <v/>
      </c>
      <c r="L481" s="21">
        <f>IF(AND($J481="",$K481=""),"",MIN(IF($J481="",99999,$J481),IF($K481="",99999,$K481)))</f>
        <v/>
      </c>
      <c r="M481" s="16">
        <f>IF(AND($I481="",$J481=""),"",IF(OR(AND($I481&lt;&gt;"",N($I481)&lt;0),AND($J481&lt;&gt;"",N($J481)&lt;0)),"Overdue",IF(OR(AND($I481&lt;&gt;"",N($I481)&lt;=IFERROR(INDEX('Intervals'!$E$4:$E$33,MATCH($B481,'Intervals'!$A$4:$A$33,0)),500)),AND($J481&lt;&gt;"",N($J481)&lt;=IFERROR(INDEX('Intervals'!$F$4:$F$33,MATCH($B481,'Intervals'!$A$4:$A$33,0)),14))),"Due soon","OK")))</f>
        <v/>
      </c>
      <c r="N481" s="15" t="n"/>
      <c r="O481" s="22">
        <f>IF(OR($M481="",$M481="OK"),"",$L481+ROW()/100000)</f>
        <v/>
      </c>
    </row>
    <row r="482">
      <c r="A482" s="15" t="n"/>
      <c r="B482" s="15" t="n"/>
      <c r="C482" s="16">
        <f>IF($B482="","",IFERROR(INDEX('Intervals'!$B$4:$B$33,MATCH($B482,'Intervals'!$A$4:$A$33,0)),""))</f>
        <v/>
      </c>
      <c r="D482" s="17" t="n"/>
      <c r="E482" s="18" t="n"/>
      <c r="F482" s="19">
        <f>IF(OR($B482="",$E482=""),"",IFERROR(IF(AND(INDEX('Intervals'!$G$4:$G$33,MATCH($B482,'Intervals'!$A$4:$A$33,0))&lt;&gt;"No",N(INDEX('Intervals'!$C$4:$C$33,MATCH($B482,'Intervals'!$A$4:$A$33,0)))&gt;0),$E482+N(INDEX('Intervals'!$C$4:$C$33,MATCH($B482,'Intervals'!$A$4:$A$33,0))),""),""))</f>
        <v/>
      </c>
      <c r="G482" s="20">
        <f>IF(OR($B482="",$D482=""),"",IFERROR(IF(AND(INDEX('Intervals'!$G$4:$G$33,MATCH($B482,'Intervals'!$A$4:$A$33,0))&lt;&gt;"No",N(INDEX('Intervals'!$D$4:$D$33,MATCH($B482,'Intervals'!$A$4:$A$33,0)))&gt;0),EDATE($D482,N(INDEX('Intervals'!$D$4:$D$33,MATCH($B482,'Intervals'!$A$4:$A$33,0)))),""),""))</f>
        <v/>
      </c>
      <c r="H482" s="19">
        <f>IF($A482="","",IFERROR(IF(N(INDEX('Cars'!$H$4:$H$103,MATCH($A482,'Cars'!$A$4:$A$103,0)))&gt;0,INDEX('Cars'!$H$4:$H$103,MATCH($A482,'Cars'!$A$4:$A$103,0)),""),""))</f>
        <v/>
      </c>
      <c r="I482" s="19">
        <f>IF(OR($F482="",$H482=""),"",$F482-$H482)</f>
        <v/>
      </c>
      <c r="J482" s="21">
        <f>IF($G482="","",$G482-TODAY())</f>
        <v/>
      </c>
      <c r="K482" s="21">
        <f>IF($I482="","",IFERROR(IF(N(INDEX('Cars'!$J$4:$J$103,MATCH($A482,'Cars'!$A$4:$A$103,0)))&gt;0,ROUND($I482/INDEX('Cars'!$J$4:$J$103,MATCH($A482,'Cars'!$A$4:$A$103,0))*30,0),""),""))</f>
        <v/>
      </c>
      <c r="L482" s="21">
        <f>IF(AND($J482="",$K482=""),"",MIN(IF($J482="",99999,$J482),IF($K482="",99999,$K482)))</f>
        <v/>
      </c>
      <c r="M482" s="16">
        <f>IF(AND($I482="",$J482=""),"",IF(OR(AND($I482&lt;&gt;"",N($I482)&lt;0),AND($J482&lt;&gt;"",N($J482)&lt;0)),"Overdue",IF(OR(AND($I482&lt;&gt;"",N($I482)&lt;=IFERROR(INDEX('Intervals'!$E$4:$E$33,MATCH($B482,'Intervals'!$A$4:$A$33,0)),500)),AND($J482&lt;&gt;"",N($J482)&lt;=IFERROR(INDEX('Intervals'!$F$4:$F$33,MATCH($B482,'Intervals'!$A$4:$A$33,0)),14))),"Due soon","OK")))</f>
        <v/>
      </c>
      <c r="N482" s="15" t="n"/>
      <c r="O482" s="22">
        <f>IF(OR($M482="",$M482="OK"),"",$L482+ROW()/100000)</f>
        <v/>
      </c>
    </row>
    <row r="483">
      <c r="A483" s="15" t="n"/>
      <c r="B483" s="15" t="n"/>
      <c r="C483" s="16">
        <f>IF($B483="","",IFERROR(INDEX('Intervals'!$B$4:$B$33,MATCH($B483,'Intervals'!$A$4:$A$33,0)),""))</f>
        <v/>
      </c>
      <c r="D483" s="17" t="n"/>
      <c r="E483" s="18" t="n"/>
      <c r="F483" s="19">
        <f>IF(OR($B483="",$E483=""),"",IFERROR(IF(AND(INDEX('Intervals'!$G$4:$G$33,MATCH($B483,'Intervals'!$A$4:$A$33,0))&lt;&gt;"No",N(INDEX('Intervals'!$C$4:$C$33,MATCH($B483,'Intervals'!$A$4:$A$33,0)))&gt;0),$E483+N(INDEX('Intervals'!$C$4:$C$33,MATCH($B483,'Intervals'!$A$4:$A$33,0))),""),""))</f>
        <v/>
      </c>
      <c r="G483" s="20">
        <f>IF(OR($B483="",$D483=""),"",IFERROR(IF(AND(INDEX('Intervals'!$G$4:$G$33,MATCH($B483,'Intervals'!$A$4:$A$33,0))&lt;&gt;"No",N(INDEX('Intervals'!$D$4:$D$33,MATCH($B483,'Intervals'!$A$4:$A$33,0)))&gt;0),EDATE($D483,N(INDEX('Intervals'!$D$4:$D$33,MATCH($B483,'Intervals'!$A$4:$A$33,0)))),""),""))</f>
        <v/>
      </c>
      <c r="H483" s="19">
        <f>IF($A483="","",IFERROR(IF(N(INDEX('Cars'!$H$4:$H$103,MATCH($A483,'Cars'!$A$4:$A$103,0)))&gt;0,INDEX('Cars'!$H$4:$H$103,MATCH($A483,'Cars'!$A$4:$A$103,0)),""),""))</f>
        <v/>
      </c>
      <c r="I483" s="19">
        <f>IF(OR($F483="",$H483=""),"",$F483-$H483)</f>
        <v/>
      </c>
      <c r="J483" s="21">
        <f>IF($G483="","",$G483-TODAY())</f>
        <v/>
      </c>
      <c r="K483" s="21">
        <f>IF($I483="","",IFERROR(IF(N(INDEX('Cars'!$J$4:$J$103,MATCH($A483,'Cars'!$A$4:$A$103,0)))&gt;0,ROUND($I483/INDEX('Cars'!$J$4:$J$103,MATCH($A483,'Cars'!$A$4:$A$103,0))*30,0),""),""))</f>
        <v/>
      </c>
      <c r="L483" s="21">
        <f>IF(AND($J483="",$K483=""),"",MIN(IF($J483="",99999,$J483),IF($K483="",99999,$K483)))</f>
        <v/>
      </c>
      <c r="M483" s="16">
        <f>IF(AND($I483="",$J483=""),"",IF(OR(AND($I483&lt;&gt;"",N($I483)&lt;0),AND($J483&lt;&gt;"",N($J483)&lt;0)),"Overdue",IF(OR(AND($I483&lt;&gt;"",N($I483)&lt;=IFERROR(INDEX('Intervals'!$E$4:$E$33,MATCH($B483,'Intervals'!$A$4:$A$33,0)),500)),AND($J483&lt;&gt;"",N($J483)&lt;=IFERROR(INDEX('Intervals'!$F$4:$F$33,MATCH($B483,'Intervals'!$A$4:$A$33,0)),14))),"Due soon","OK")))</f>
        <v/>
      </c>
      <c r="N483" s="15" t="n"/>
      <c r="O483" s="22">
        <f>IF(OR($M483="",$M483="OK"),"",$L483+ROW()/100000)</f>
        <v/>
      </c>
    </row>
    <row r="484">
      <c r="A484" s="15" t="n"/>
      <c r="B484" s="15" t="n"/>
      <c r="C484" s="16">
        <f>IF($B484="","",IFERROR(INDEX('Intervals'!$B$4:$B$33,MATCH($B484,'Intervals'!$A$4:$A$33,0)),""))</f>
        <v/>
      </c>
      <c r="D484" s="17" t="n"/>
      <c r="E484" s="18" t="n"/>
      <c r="F484" s="19">
        <f>IF(OR($B484="",$E484=""),"",IFERROR(IF(AND(INDEX('Intervals'!$G$4:$G$33,MATCH($B484,'Intervals'!$A$4:$A$33,0))&lt;&gt;"No",N(INDEX('Intervals'!$C$4:$C$33,MATCH($B484,'Intervals'!$A$4:$A$33,0)))&gt;0),$E484+N(INDEX('Intervals'!$C$4:$C$33,MATCH($B484,'Intervals'!$A$4:$A$33,0))),""),""))</f>
        <v/>
      </c>
      <c r="G484" s="20">
        <f>IF(OR($B484="",$D484=""),"",IFERROR(IF(AND(INDEX('Intervals'!$G$4:$G$33,MATCH($B484,'Intervals'!$A$4:$A$33,0))&lt;&gt;"No",N(INDEX('Intervals'!$D$4:$D$33,MATCH($B484,'Intervals'!$A$4:$A$33,0)))&gt;0),EDATE($D484,N(INDEX('Intervals'!$D$4:$D$33,MATCH($B484,'Intervals'!$A$4:$A$33,0)))),""),""))</f>
        <v/>
      </c>
      <c r="H484" s="19">
        <f>IF($A484="","",IFERROR(IF(N(INDEX('Cars'!$H$4:$H$103,MATCH($A484,'Cars'!$A$4:$A$103,0)))&gt;0,INDEX('Cars'!$H$4:$H$103,MATCH($A484,'Cars'!$A$4:$A$103,0)),""),""))</f>
        <v/>
      </c>
      <c r="I484" s="19">
        <f>IF(OR($F484="",$H484=""),"",$F484-$H484)</f>
        <v/>
      </c>
      <c r="J484" s="21">
        <f>IF($G484="","",$G484-TODAY())</f>
        <v/>
      </c>
      <c r="K484" s="21">
        <f>IF($I484="","",IFERROR(IF(N(INDEX('Cars'!$J$4:$J$103,MATCH($A484,'Cars'!$A$4:$A$103,0)))&gt;0,ROUND($I484/INDEX('Cars'!$J$4:$J$103,MATCH($A484,'Cars'!$A$4:$A$103,0))*30,0),""),""))</f>
        <v/>
      </c>
      <c r="L484" s="21">
        <f>IF(AND($J484="",$K484=""),"",MIN(IF($J484="",99999,$J484),IF($K484="",99999,$K484)))</f>
        <v/>
      </c>
      <c r="M484" s="16">
        <f>IF(AND($I484="",$J484=""),"",IF(OR(AND($I484&lt;&gt;"",N($I484)&lt;0),AND($J484&lt;&gt;"",N($J484)&lt;0)),"Overdue",IF(OR(AND($I484&lt;&gt;"",N($I484)&lt;=IFERROR(INDEX('Intervals'!$E$4:$E$33,MATCH($B484,'Intervals'!$A$4:$A$33,0)),500)),AND($J484&lt;&gt;"",N($J484)&lt;=IFERROR(INDEX('Intervals'!$F$4:$F$33,MATCH($B484,'Intervals'!$A$4:$A$33,0)),14))),"Due soon","OK")))</f>
        <v/>
      </c>
      <c r="N484" s="15" t="n"/>
      <c r="O484" s="22">
        <f>IF(OR($M484="",$M484="OK"),"",$L484+ROW()/100000)</f>
        <v/>
      </c>
    </row>
    <row r="485">
      <c r="A485" s="15" t="n"/>
      <c r="B485" s="15" t="n"/>
      <c r="C485" s="16">
        <f>IF($B485="","",IFERROR(INDEX('Intervals'!$B$4:$B$33,MATCH($B485,'Intervals'!$A$4:$A$33,0)),""))</f>
        <v/>
      </c>
      <c r="D485" s="17" t="n"/>
      <c r="E485" s="18" t="n"/>
      <c r="F485" s="19">
        <f>IF(OR($B485="",$E485=""),"",IFERROR(IF(AND(INDEX('Intervals'!$G$4:$G$33,MATCH($B485,'Intervals'!$A$4:$A$33,0))&lt;&gt;"No",N(INDEX('Intervals'!$C$4:$C$33,MATCH($B485,'Intervals'!$A$4:$A$33,0)))&gt;0),$E485+N(INDEX('Intervals'!$C$4:$C$33,MATCH($B485,'Intervals'!$A$4:$A$33,0))),""),""))</f>
        <v/>
      </c>
      <c r="G485" s="20">
        <f>IF(OR($B485="",$D485=""),"",IFERROR(IF(AND(INDEX('Intervals'!$G$4:$G$33,MATCH($B485,'Intervals'!$A$4:$A$33,0))&lt;&gt;"No",N(INDEX('Intervals'!$D$4:$D$33,MATCH($B485,'Intervals'!$A$4:$A$33,0)))&gt;0),EDATE($D485,N(INDEX('Intervals'!$D$4:$D$33,MATCH($B485,'Intervals'!$A$4:$A$33,0)))),""),""))</f>
        <v/>
      </c>
      <c r="H485" s="19">
        <f>IF($A485="","",IFERROR(IF(N(INDEX('Cars'!$H$4:$H$103,MATCH($A485,'Cars'!$A$4:$A$103,0)))&gt;0,INDEX('Cars'!$H$4:$H$103,MATCH($A485,'Cars'!$A$4:$A$103,0)),""),""))</f>
        <v/>
      </c>
      <c r="I485" s="19">
        <f>IF(OR($F485="",$H485=""),"",$F485-$H485)</f>
        <v/>
      </c>
      <c r="J485" s="21">
        <f>IF($G485="","",$G485-TODAY())</f>
        <v/>
      </c>
      <c r="K485" s="21">
        <f>IF($I485="","",IFERROR(IF(N(INDEX('Cars'!$J$4:$J$103,MATCH($A485,'Cars'!$A$4:$A$103,0)))&gt;0,ROUND($I485/INDEX('Cars'!$J$4:$J$103,MATCH($A485,'Cars'!$A$4:$A$103,0))*30,0),""),""))</f>
        <v/>
      </c>
      <c r="L485" s="21">
        <f>IF(AND($J485="",$K485=""),"",MIN(IF($J485="",99999,$J485),IF($K485="",99999,$K485)))</f>
        <v/>
      </c>
      <c r="M485" s="16">
        <f>IF(AND($I485="",$J485=""),"",IF(OR(AND($I485&lt;&gt;"",N($I485)&lt;0),AND($J485&lt;&gt;"",N($J485)&lt;0)),"Overdue",IF(OR(AND($I485&lt;&gt;"",N($I485)&lt;=IFERROR(INDEX('Intervals'!$E$4:$E$33,MATCH($B485,'Intervals'!$A$4:$A$33,0)),500)),AND($J485&lt;&gt;"",N($J485)&lt;=IFERROR(INDEX('Intervals'!$F$4:$F$33,MATCH($B485,'Intervals'!$A$4:$A$33,0)),14))),"Due soon","OK")))</f>
        <v/>
      </c>
      <c r="N485" s="15" t="n"/>
      <c r="O485" s="22">
        <f>IF(OR($M485="",$M485="OK"),"",$L485+ROW()/100000)</f>
        <v/>
      </c>
    </row>
    <row r="486">
      <c r="A486" s="15" t="n"/>
      <c r="B486" s="15" t="n"/>
      <c r="C486" s="16">
        <f>IF($B486="","",IFERROR(INDEX('Intervals'!$B$4:$B$33,MATCH($B486,'Intervals'!$A$4:$A$33,0)),""))</f>
        <v/>
      </c>
      <c r="D486" s="17" t="n"/>
      <c r="E486" s="18" t="n"/>
      <c r="F486" s="19">
        <f>IF(OR($B486="",$E486=""),"",IFERROR(IF(AND(INDEX('Intervals'!$G$4:$G$33,MATCH($B486,'Intervals'!$A$4:$A$33,0))&lt;&gt;"No",N(INDEX('Intervals'!$C$4:$C$33,MATCH($B486,'Intervals'!$A$4:$A$33,0)))&gt;0),$E486+N(INDEX('Intervals'!$C$4:$C$33,MATCH($B486,'Intervals'!$A$4:$A$33,0))),""),""))</f>
        <v/>
      </c>
      <c r="G486" s="20">
        <f>IF(OR($B486="",$D486=""),"",IFERROR(IF(AND(INDEX('Intervals'!$G$4:$G$33,MATCH($B486,'Intervals'!$A$4:$A$33,0))&lt;&gt;"No",N(INDEX('Intervals'!$D$4:$D$33,MATCH($B486,'Intervals'!$A$4:$A$33,0)))&gt;0),EDATE($D486,N(INDEX('Intervals'!$D$4:$D$33,MATCH($B486,'Intervals'!$A$4:$A$33,0)))),""),""))</f>
        <v/>
      </c>
      <c r="H486" s="19">
        <f>IF($A486="","",IFERROR(IF(N(INDEX('Cars'!$H$4:$H$103,MATCH($A486,'Cars'!$A$4:$A$103,0)))&gt;0,INDEX('Cars'!$H$4:$H$103,MATCH($A486,'Cars'!$A$4:$A$103,0)),""),""))</f>
        <v/>
      </c>
      <c r="I486" s="19">
        <f>IF(OR($F486="",$H486=""),"",$F486-$H486)</f>
        <v/>
      </c>
      <c r="J486" s="21">
        <f>IF($G486="","",$G486-TODAY())</f>
        <v/>
      </c>
      <c r="K486" s="21">
        <f>IF($I486="","",IFERROR(IF(N(INDEX('Cars'!$J$4:$J$103,MATCH($A486,'Cars'!$A$4:$A$103,0)))&gt;0,ROUND($I486/INDEX('Cars'!$J$4:$J$103,MATCH($A486,'Cars'!$A$4:$A$103,0))*30,0),""),""))</f>
        <v/>
      </c>
      <c r="L486" s="21">
        <f>IF(AND($J486="",$K486=""),"",MIN(IF($J486="",99999,$J486),IF($K486="",99999,$K486)))</f>
        <v/>
      </c>
      <c r="M486" s="16">
        <f>IF(AND($I486="",$J486=""),"",IF(OR(AND($I486&lt;&gt;"",N($I486)&lt;0),AND($J486&lt;&gt;"",N($J486)&lt;0)),"Overdue",IF(OR(AND($I486&lt;&gt;"",N($I486)&lt;=IFERROR(INDEX('Intervals'!$E$4:$E$33,MATCH($B486,'Intervals'!$A$4:$A$33,0)),500)),AND($J486&lt;&gt;"",N($J486)&lt;=IFERROR(INDEX('Intervals'!$F$4:$F$33,MATCH($B486,'Intervals'!$A$4:$A$33,0)),14))),"Due soon","OK")))</f>
        <v/>
      </c>
      <c r="N486" s="15" t="n"/>
      <c r="O486" s="22">
        <f>IF(OR($M486="",$M486="OK"),"",$L486+ROW()/100000)</f>
        <v/>
      </c>
    </row>
    <row r="487">
      <c r="A487" s="15" t="n"/>
      <c r="B487" s="15" t="n"/>
      <c r="C487" s="16">
        <f>IF($B487="","",IFERROR(INDEX('Intervals'!$B$4:$B$33,MATCH($B487,'Intervals'!$A$4:$A$33,0)),""))</f>
        <v/>
      </c>
      <c r="D487" s="17" t="n"/>
      <c r="E487" s="18" t="n"/>
      <c r="F487" s="19">
        <f>IF(OR($B487="",$E487=""),"",IFERROR(IF(AND(INDEX('Intervals'!$G$4:$G$33,MATCH($B487,'Intervals'!$A$4:$A$33,0))&lt;&gt;"No",N(INDEX('Intervals'!$C$4:$C$33,MATCH($B487,'Intervals'!$A$4:$A$33,0)))&gt;0),$E487+N(INDEX('Intervals'!$C$4:$C$33,MATCH($B487,'Intervals'!$A$4:$A$33,0))),""),""))</f>
        <v/>
      </c>
      <c r="G487" s="20">
        <f>IF(OR($B487="",$D487=""),"",IFERROR(IF(AND(INDEX('Intervals'!$G$4:$G$33,MATCH($B487,'Intervals'!$A$4:$A$33,0))&lt;&gt;"No",N(INDEX('Intervals'!$D$4:$D$33,MATCH($B487,'Intervals'!$A$4:$A$33,0)))&gt;0),EDATE($D487,N(INDEX('Intervals'!$D$4:$D$33,MATCH($B487,'Intervals'!$A$4:$A$33,0)))),""),""))</f>
        <v/>
      </c>
      <c r="H487" s="19">
        <f>IF($A487="","",IFERROR(IF(N(INDEX('Cars'!$H$4:$H$103,MATCH($A487,'Cars'!$A$4:$A$103,0)))&gt;0,INDEX('Cars'!$H$4:$H$103,MATCH($A487,'Cars'!$A$4:$A$103,0)),""),""))</f>
        <v/>
      </c>
      <c r="I487" s="19">
        <f>IF(OR($F487="",$H487=""),"",$F487-$H487)</f>
        <v/>
      </c>
      <c r="J487" s="21">
        <f>IF($G487="","",$G487-TODAY())</f>
        <v/>
      </c>
      <c r="K487" s="21">
        <f>IF($I487="","",IFERROR(IF(N(INDEX('Cars'!$J$4:$J$103,MATCH($A487,'Cars'!$A$4:$A$103,0)))&gt;0,ROUND($I487/INDEX('Cars'!$J$4:$J$103,MATCH($A487,'Cars'!$A$4:$A$103,0))*30,0),""),""))</f>
        <v/>
      </c>
      <c r="L487" s="21">
        <f>IF(AND($J487="",$K487=""),"",MIN(IF($J487="",99999,$J487),IF($K487="",99999,$K487)))</f>
        <v/>
      </c>
      <c r="M487" s="16">
        <f>IF(AND($I487="",$J487=""),"",IF(OR(AND($I487&lt;&gt;"",N($I487)&lt;0),AND($J487&lt;&gt;"",N($J487)&lt;0)),"Overdue",IF(OR(AND($I487&lt;&gt;"",N($I487)&lt;=IFERROR(INDEX('Intervals'!$E$4:$E$33,MATCH($B487,'Intervals'!$A$4:$A$33,0)),500)),AND($J487&lt;&gt;"",N($J487)&lt;=IFERROR(INDEX('Intervals'!$F$4:$F$33,MATCH($B487,'Intervals'!$A$4:$A$33,0)),14))),"Due soon","OK")))</f>
        <v/>
      </c>
      <c r="N487" s="15" t="n"/>
      <c r="O487" s="22">
        <f>IF(OR($M487="",$M487="OK"),"",$L487+ROW()/100000)</f>
        <v/>
      </c>
    </row>
    <row r="488">
      <c r="A488" s="15" t="n"/>
      <c r="B488" s="15" t="n"/>
      <c r="C488" s="16">
        <f>IF($B488="","",IFERROR(INDEX('Intervals'!$B$4:$B$33,MATCH($B488,'Intervals'!$A$4:$A$33,0)),""))</f>
        <v/>
      </c>
      <c r="D488" s="17" t="n"/>
      <c r="E488" s="18" t="n"/>
      <c r="F488" s="19">
        <f>IF(OR($B488="",$E488=""),"",IFERROR(IF(AND(INDEX('Intervals'!$G$4:$G$33,MATCH($B488,'Intervals'!$A$4:$A$33,0))&lt;&gt;"No",N(INDEX('Intervals'!$C$4:$C$33,MATCH($B488,'Intervals'!$A$4:$A$33,0)))&gt;0),$E488+N(INDEX('Intervals'!$C$4:$C$33,MATCH($B488,'Intervals'!$A$4:$A$33,0))),""),""))</f>
        <v/>
      </c>
      <c r="G488" s="20">
        <f>IF(OR($B488="",$D488=""),"",IFERROR(IF(AND(INDEX('Intervals'!$G$4:$G$33,MATCH($B488,'Intervals'!$A$4:$A$33,0))&lt;&gt;"No",N(INDEX('Intervals'!$D$4:$D$33,MATCH($B488,'Intervals'!$A$4:$A$33,0)))&gt;0),EDATE($D488,N(INDEX('Intervals'!$D$4:$D$33,MATCH($B488,'Intervals'!$A$4:$A$33,0)))),""),""))</f>
        <v/>
      </c>
      <c r="H488" s="19">
        <f>IF($A488="","",IFERROR(IF(N(INDEX('Cars'!$H$4:$H$103,MATCH($A488,'Cars'!$A$4:$A$103,0)))&gt;0,INDEX('Cars'!$H$4:$H$103,MATCH($A488,'Cars'!$A$4:$A$103,0)),""),""))</f>
        <v/>
      </c>
      <c r="I488" s="19">
        <f>IF(OR($F488="",$H488=""),"",$F488-$H488)</f>
        <v/>
      </c>
      <c r="J488" s="21">
        <f>IF($G488="","",$G488-TODAY())</f>
        <v/>
      </c>
      <c r="K488" s="21">
        <f>IF($I488="","",IFERROR(IF(N(INDEX('Cars'!$J$4:$J$103,MATCH($A488,'Cars'!$A$4:$A$103,0)))&gt;0,ROUND($I488/INDEX('Cars'!$J$4:$J$103,MATCH($A488,'Cars'!$A$4:$A$103,0))*30,0),""),""))</f>
        <v/>
      </c>
      <c r="L488" s="21">
        <f>IF(AND($J488="",$K488=""),"",MIN(IF($J488="",99999,$J488),IF($K488="",99999,$K488)))</f>
        <v/>
      </c>
      <c r="M488" s="16">
        <f>IF(AND($I488="",$J488=""),"",IF(OR(AND($I488&lt;&gt;"",N($I488)&lt;0),AND($J488&lt;&gt;"",N($J488)&lt;0)),"Overdue",IF(OR(AND($I488&lt;&gt;"",N($I488)&lt;=IFERROR(INDEX('Intervals'!$E$4:$E$33,MATCH($B488,'Intervals'!$A$4:$A$33,0)),500)),AND($J488&lt;&gt;"",N($J488)&lt;=IFERROR(INDEX('Intervals'!$F$4:$F$33,MATCH($B488,'Intervals'!$A$4:$A$33,0)),14))),"Due soon","OK")))</f>
        <v/>
      </c>
      <c r="N488" s="15" t="n"/>
      <c r="O488" s="22">
        <f>IF(OR($M488="",$M488="OK"),"",$L488+ROW()/100000)</f>
        <v/>
      </c>
    </row>
    <row r="489">
      <c r="A489" s="15" t="n"/>
      <c r="B489" s="15" t="n"/>
      <c r="C489" s="16">
        <f>IF($B489="","",IFERROR(INDEX('Intervals'!$B$4:$B$33,MATCH($B489,'Intervals'!$A$4:$A$33,0)),""))</f>
        <v/>
      </c>
      <c r="D489" s="17" t="n"/>
      <c r="E489" s="18" t="n"/>
      <c r="F489" s="19">
        <f>IF(OR($B489="",$E489=""),"",IFERROR(IF(AND(INDEX('Intervals'!$G$4:$G$33,MATCH($B489,'Intervals'!$A$4:$A$33,0))&lt;&gt;"No",N(INDEX('Intervals'!$C$4:$C$33,MATCH($B489,'Intervals'!$A$4:$A$33,0)))&gt;0),$E489+N(INDEX('Intervals'!$C$4:$C$33,MATCH($B489,'Intervals'!$A$4:$A$33,0))),""),""))</f>
        <v/>
      </c>
      <c r="G489" s="20">
        <f>IF(OR($B489="",$D489=""),"",IFERROR(IF(AND(INDEX('Intervals'!$G$4:$G$33,MATCH($B489,'Intervals'!$A$4:$A$33,0))&lt;&gt;"No",N(INDEX('Intervals'!$D$4:$D$33,MATCH($B489,'Intervals'!$A$4:$A$33,0)))&gt;0),EDATE($D489,N(INDEX('Intervals'!$D$4:$D$33,MATCH($B489,'Intervals'!$A$4:$A$33,0)))),""),""))</f>
        <v/>
      </c>
      <c r="H489" s="19">
        <f>IF($A489="","",IFERROR(IF(N(INDEX('Cars'!$H$4:$H$103,MATCH($A489,'Cars'!$A$4:$A$103,0)))&gt;0,INDEX('Cars'!$H$4:$H$103,MATCH($A489,'Cars'!$A$4:$A$103,0)),""),""))</f>
        <v/>
      </c>
      <c r="I489" s="19">
        <f>IF(OR($F489="",$H489=""),"",$F489-$H489)</f>
        <v/>
      </c>
      <c r="J489" s="21">
        <f>IF($G489="","",$G489-TODAY())</f>
        <v/>
      </c>
      <c r="K489" s="21">
        <f>IF($I489="","",IFERROR(IF(N(INDEX('Cars'!$J$4:$J$103,MATCH($A489,'Cars'!$A$4:$A$103,0)))&gt;0,ROUND($I489/INDEX('Cars'!$J$4:$J$103,MATCH($A489,'Cars'!$A$4:$A$103,0))*30,0),""),""))</f>
        <v/>
      </c>
      <c r="L489" s="21">
        <f>IF(AND($J489="",$K489=""),"",MIN(IF($J489="",99999,$J489),IF($K489="",99999,$K489)))</f>
        <v/>
      </c>
      <c r="M489" s="16">
        <f>IF(AND($I489="",$J489=""),"",IF(OR(AND($I489&lt;&gt;"",N($I489)&lt;0),AND($J489&lt;&gt;"",N($J489)&lt;0)),"Overdue",IF(OR(AND($I489&lt;&gt;"",N($I489)&lt;=IFERROR(INDEX('Intervals'!$E$4:$E$33,MATCH($B489,'Intervals'!$A$4:$A$33,0)),500)),AND($J489&lt;&gt;"",N($J489)&lt;=IFERROR(INDEX('Intervals'!$F$4:$F$33,MATCH($B489,'Intervals'!$A$4:$A$33,0)),14))),"Due soon","OK")))</f>
        <v/>
      </c>
      <c r="N489" s="15" t="n"/>
      <c r="O489" s="22">
        <f>IF(OR($M489="",$M489="OK"),"",$L489+ROW()/100000)</f>
        <v/>
      </c>
    </row>
    <row r="490">
      <c r="A490" s="15" t="n"/>
      <c r="B490" s="15" t="n"/>
      <c r="C490" s="16">
        <f>IF($B490="","",IFERROR(INDEX('Intervals'!$B$4:$B$33,MATCH($B490,'Intervals'!$A$4:$A$33,0)),""))</f>
        <v/>
      </c>
      <c r="D490" s="17" t="n"/>
      <c r="E490" s="18" t="n"/>
      <c r="F490" s="19">
        <f>IF(OR($B490="",$E490=""),"",IFERROR(IF(AND(INDEX('Intervals'!$G$4:$G$33,MATCH($B490,'Intervals'!$A$4:$A$33,0))&lt;&gt;"No",N(INDEX('Intervals'!$C$4:$C$33,MATCH($B490,'Intervals'!$A$4:$A$33,0)))&gt;0),$E490+N(INDEX('Intervals'!$C$4:$C$33,MATCH($B490,'Intervals'!$A$4:$A$33,0))),""),""))</f>
        <v/>
      </c>
      <c r="G490" s="20">
        <f>IF(OR($B490="",$D490=""),"",IFERROR(IF(AND(INDEX('Intervals'!$G$4:$G$33,MATCH($B490,'Intervals'!$A$4:$A$33,0))&lt;&gt;"No",N(INDEX('Intervals'!$D$4:$D$33,MATCH($B490,'Intervals'!$A$4:$A$33,0)))&gt;0),EDATE($D490,N(INDEX('Intervals'!$D$4:$D$33,MATCH($B490,'Intervals'!$A$4:$A$33,0)))),""),""))</f>
        <v/>
      </c>
      <c r="H490" s="19">
        <f>IF($A490="","",IFERROR(IF(N(INDEX('Cars'!$H$4:$H$103,MATCH($A490,'Cars'!$A$4:$A$103,0)))&gt;0,INDEX('Cars'!$H$4:$H$103,MATCH($A490,'Cars'!$A$4:$A$103,0)),""),""))</f>
        <v/>
      </c>
      <c r="I490" s="19">
        <f>IF(OR($F490="",$H490=""),"",$F490-$H490)</f>
        <v/>
      </c>
      <c r="J490" s="21">
        <f>IF($G490="","",$G490-TODAY())</f>
        <v/>
      </c>
      <c r="K490" s="21">
        <f>IF($I490="","",IFERROR(IF(N(INDEX('Cars'!$J$4:$J$103,MATCH($A490,'Cars'!$A$4:$A$103,0)))&gt;0,ROUND($I490/INDEX('Cars'!$J$4:$J$103,MATCH($A490,'Cars'!$A$4:$A$103,0))*30,0),""),""))</f>
        <v/>
      </c>
      <c r="L490" s="21">
        <f>IF(AND($J490="",$K490=""),"",MIN(IF($J490="",99999,$J490),IF($K490="",99999,$K490)))</f>
        <v/>
      </c>
      <c r="M490" s="16">
        <f>IF(AND($I490="",$J490=""),"",IF(OR(AND($I490&lt;&gt;"",N($I490)&lt;0),AND($J490&lt;&gt;"",N($J490)&lt;0)),"Overdue",IF(OR(AND($I490&lt;&gt;"",N($I490)&lt;=IFERROR(INDEX('Intervals'!$E$4:$E$33,MATCH($B490,'Intervals'!$A$4:$A$33,0)),500)),AND($J490&lt;&gt;"",N($J490)&lt;=IFERROR(INDEX('Intervals'!$F$4:$F$33,MATCH($B490,'Intervals'!$A$4:$A$33,0)),14))),"Due soon","OK")))</f>
        <v/>
      </c>
      <c r="N490" s="15" t="n"/>
      <c r="O490" s="22">
        <f>IF(OR($M490="",$M490="OK"),"",$L490+ROW()/100000)</f>
        <v/>
      </c>
    </row>
    <row r="491">
      <c r="A491" s="15" t="n"/>
      <c r="B491" s="15" t="n"/>
      <c r="C491" s="16">
        <f>IF($B491="","",IFERROR(INDEX('Intervals'!$B$4:$B$33,MATCH($B491,'Intervals'!$A$4:$A$33,0)),""))</f>
        <v/>
      </c>
      <c r="D491" s="17" t="n"/>
      <c r="E491" s="18" t="n"/>
      <c r="F491" s="19">
        <f>IF(OR($B491="",$E491=""),"",IFERROR(IF(AND(INDEX('Intervals'!$G$4:$G$33,MATCH($B491,'Intervals'!$A$4:$A$33,0))&lt;&gt;"No",N(INDEX('Intervals'!$C$4:$C$33,MATCH($B491,'Intervals'!$A$4:$A$33,0)))&gt;0),$E491+N(INDEX('Intervals'!$C$4:$C$33,MATCH($B491,'Intervals'!$A$4:$A$33,0))),""),""))</f>
        <v/>
      </c>
      <c r="G491" s="20">
        <f>IF(OR($B491="",$D491=""),"",IFERROR(IF(AND(INDEX('Intervals'!$G$4:$G$33,MATCH($B491,'Intervals'!$A$4:$A$33,0))&lt;&gt;"No",N(INDEX('Intervals'!$D$4:$D$33,MATCH($B491,'Intervals'!$A$4:$A$33,0)))&gt;0),EDATE($D491,N(INDEX('Intervals'!$D$4:$D$33,MATCH($B491,'Intervals'!$A$4:$A$33,0)))),""),""))</f>
        <v/>
      </c>
      <c r="H491" s="19">
        <f>IF($A491="","",IFERROR(IF(N(INDEX('Cars'!$H$4:$H$103,MATCH($A491,'Cars'!$A$4:$A$103,0)))&gt;0,INDEX('Cars'!$H$4:$H$103,MATCH($A491,'Cars'!$A$4:$A$103,0)),""),""))</f>
        <v/>
      </c>
      <c r="I491" s="19">
        <f>IF(OR($F491="",$H491=""),"",$F491-$H491)</f>
        <v/>
      </c>
      <c r="J491" s="21">
        <f>IF($G491="","",$G491-TODAY())</f>
        <v/>
      </c>
      <c r="K491" s="21">
        <f>IF($I491="","",IFERROR(IF(N(INDEX('Cars'!$J$4:$J$103,MATCH($A491,'Cars'!$A$4:$A$103,0)))&gt;0,ROUND($I491/INDEX('Cars'!$J$4:$J$103,MATCH($A491,'Cars'!$A$4:$A$103,0))*30,0),""),""))</f>
        <v/>
      </c>
      <c r="L491" s="21">
        <f>IF(AND($J491="",$K491=""),"",MIN(IF($J491="",99999,$J491),IF($K491="",99999,$K491)))</f>
        <v/>
      </c>
      <c r="M491" s="16">
        <f>IF(AND($I491="",$J491=""),"",IF(OR(AND($I491&lt;&gt;"",N($I491)&lt;0),AND($J491&lt;&gt;"",N($J491)&lt;0)),"Overdue",IF(OR(AND($I491&lt;&gt;"",N($I491)&lt;=IFERROR(INDEX('Intervals'!$E$4:$E$33,MATCH($B491,'Intervals'!$A$4:$A$33,0)),500)),AND($J491&lt;&gt;"",N($J491)&lt;=IFERROR(INDEX('Intervals'!$F$4:$F$33,MATCH($B491,'Intervals'!$A$4:$A$33,0)),14))),"Due soon","OK")))</f>
        <v/>
      </c>
      <c r="N491" s="15" t="n"/>
      <c r="O491" s="22">
        <f>IF(OR($M491="",$M491="OK"),"",$L491+ROW()/100000)</f>
        <v/>
      </c>
    </row>
    <row r="492">
      <c r="A492" s="15" t="n"/>
      <c r="B492" s="15" t="n"/>
      <c r="C492" s="16">
        <f>IF($B492="","",IFERROR(INDEX('Intervals'!$B$4:$B$33,MATCH($B492,'Intervals'!$A$4:$A$33,0)),""))</f>
        <v/>
      </c>
      <c r="D492" s="17" t="n"/>
      <c r="E492" s="18" t="n"/>
      <c r="F492" s="19">
        <f>IF(OR($B492="",$E492=""),"",IFERROR(IF(AND(INDEX('Intervals'!$G$4:$G$33,MATCH($B492,'Intervals'!$A$4:$A$33,0))&lt;&gt;"No",N(INDEX('Intervals'!$C$4:$C$33,MATCH($B492,'Intervals'!$A$4:$A$33,0)))&gt;0),$E492+N(INDEX('Intervals'!$C$4:$C$33,MATCH($B492,'Intervals'!$A$4:$A$33,0))),""),""))</f>
        <v/>
      </c>
      <c r="G492" s="20">
        <f>IF(OR($B492="",$D492=""),"",IFERROR(IF(AND(INDEX('Intervals'!$G$4:$G$33,MATCH($B492,'Intervals'!$A$4:$A$33,0))&lt;&gt;"No",N(INDEX('Intervals'!$D$4:$D$33,MATCH($B492,'Intervals'!$A$4:$A$33,0)))&gt;0),EDATE($D492,N(INDEX('Intervals'!$D$4:$D$33,MATCH($B492,'Intervals'!$A$4:$A$33,0)))),""),""))</f>
        <v/>
      </c>
      <c r="H492" s="19">
        <f>IF($A492="","",IFERROR(IF(N(INDEX('Cars'!$H$4:$H$103,MATCH($A492,'Cars'!$A$4:$A$103,0)))&gt;0,INDEX('Cars'!$H$4:$H$103,MATCH($A492,'Cars'!$A$4:$A$103,0)),""),""))</f>
        <v/>
      </c>
      <c r="I492" s="19">
        <f>IF(OR($F492="",$H492=""),"",$F492-$H492)</f>
        <v/>
      </c>
      <c r="J492" s="21">
        <f>IF($G492="","",$G492-TODAY())</f>
        <v/>
      </c>
      <c r="K492" s="21">
        <f>IF($I492="","",IFERROR(IF(N(INDEX('Cars'!$J$4:$J$103,MATCH($A492,'Cars'!$A$4:$A$103,0)))&gt;0,ROUND($I492/INDEX('Cars'!$J$4:$J$103,MATCH($A492,'Cars'!$A$4:$A$103,0))*30,0),""),""))</f>
        <v/>
      </c>
      <c r="L492" s="21">
        <f>IF(AND($J492="",$K492=""),"",MIN(IF($J492="",99999,$J492),IF($K492="",99999,$K492)))</f>
        <v/>
      </c>
      <c r="M492" s="16">
        <f>IF(AND($I492="",$J492=""),"",IF(OR(AND($I492&lt;&gt;"",N($I492)&lt;0),AND($J492&lt;&gt;"",N($J492)&lt;0)),"Overdue",IF(OR(AND($I492&lt;&gt;"",N($I492)&lt;=IFERROR(INDEX('Intervals'!$E$4:$E$33,MATCH($B492,'Intervals'!$A$4:$A$33,0)),500)),AND($J492&lt;&gt;"",N($J492)&lt;=IFERROR(INDEX('Intervals'!$F$4:$F$33,MATCH($B492,'Intervals'!$A$4:$A$33,0)),14))),"Due soon","OK")))</f>
        <v/>
      </c>
      <c r="N492" s="15" t="n"/>
      <c r="O492" s="22">
        <f>IF(OR($M492="",$M492="OK"),"",$L492+ROW()/100000)</f>
        <v/>
      </c>
    </row>
    <row r="493">
      <c r="A493" s="15" t="n"/>
      <c r="B493" s="15" t="n"/>
      <c r="C493" s="16">
        <f>IF($B493="","",IFERROR(INDEX('Intervals'!$B$4:$B$33,MATCH($B493,'Intervals'!$A$4:$A$33,0)),""))</f>
        <v/>
      </c>
      <c r="D493" s="17" t="n"/>
      <c r="E493" s="18" t="n"/>
      <c r="F493" s="19">
        <f>IF(OR($B493="",$E493=""),"",IFERROR(IF(AND(INDEX('Intervals'!$G$4:$G$33,MATCH($B493,'Intervals'!$A$4:$A$33,0))&lt;&gt;"No",N(INDEX('Intervals'!$C$4:$C$33,MATCH($B493,'Intervals'!$A$4:$A$33,0)))&gt;0),$E493+N(INDEX('Intervals'!$C$4:$C$33,MATCH($B493,'Intervals'!$A$4:$A$33,0))),""),""))</f>
        <v/>
      </c>
      <c r="G493" s="20">
        <f>IF(OR($B493="",$D493=""),"",IFERROR(IF(AND(INDEX('Intervals'!$G$4:$G$33,MATCH($B493,'Intervals'!$A$4:$A$33,0))&lt;&gt;"No",N(INDEX('Intervals'!$D$4:$D$33,MATCH($B493,'Intervals'!$A$4:$A$33,0)))&gt;0),EDATE($D493,N(INDEX('Intervals'!$D$4:$D$33,MATCH($B493,'Intervals'!$A$4:$A$33,0)))),""),""))</f>
        <v/>
      </c>
      <c r="H493" s="19">
        <f>IF($A493="","",IFERROR(IF(N(INDEX('Cars'!$H$4:$H$103,MATCH($A493,'Cars'!$A$4:$A$103,0)))&gt;0,INDEX('Cars'!$H$4:$H$103,MATCH($A493,'Cars'!$A$4:$A$103,0)),""),""))</f>
        <v/>
      </c>
      <c r="I493" s="19">
        <f>IF(OR($F493="",$H493=""),"",$F493-$H493)</f>
        <v/>
      </c>
      <c r="J493" s="21">
        <f>IF($G493="","",$G493-TODAY())</f>
        <v/>
      </c>
      <c r="K493" s="21">
        <f>IF($I493="","",IFERROR(IF(N(INDEX('Cars'!$J$4:$J$103,MATCH($A493,'Cars'!$A$4:$A$103,0)))&gt;0,ROUND($I493/INDEX('Cars'!$J$4:$J$103,MATCH($A493,'Cars'!$A$4:$A$103,0))*30,0),""),""))</f>
        <v/>
      </c>
      <c r="L493" s="21">
        <f>IF(AND($J493="",$K493=""),"",MIN(IF($J493="",99999,$J493),IF($K493="",99999,$K493)))</f>
        <v/>
      </c>
      <c r="M493" s="16">
        <f>IF(AND($I493="",$J493=""),"",IF(OR(AND($I493&lt;&gt;"",N($I493)&lt;0),AND($J493&lt;&gt;"",N($J493)&lt;0)),"Overdue",IF(OR(AND($I493&lt;&gt;"",N($I493)&lt;=IFERROR(INDEX('Intervals'!$E$4:$E$33,MATCH($B493,'Intervals'!$A$4:$A$33,0)),500)),AND($J493&lt;&gt;"",N($J493)&lt;=IFERROR(INDEX('Intervals'!$F$4:$F$33,MATCH($B493,'Intervals'!$A$4:$A$33,0)),14))),"Due soon","OK")))</f>
        <v/>
      </c>
      <c r="N493" s="15" t="n"/>
      <c r="O493" s="22">
        <f>IF(OR($M493="",$M493="OK"),"",$L493+ROW()/100000)</f>
        <v/>
      </c>
    </row>
    <row r="494">
      <c r="A494" s="15" t="n"/>
      <c r="B494" s="15" t="n"/>
      <c r="C494" s="16">
        <f>IF($B494="","",IFERROR(INDEX('Intervals'!$B$4:$B$33,MATCH($B494,'Intervals'!$A$4:$A$33,0)),""))</f>
        <v/>
      </c>
      <c r="D494" s="17" t="n"/>
      <c r="E494" s="18" t="n"/>
      <c r="F494" s="19">
        <f>IF(OR($B494="",$E494=""),"",IFERROR(IF(AND(INDEX('Intervals'!$G$4:$G$33,MATCH($B494,'Intervals'!$A$4:$A$33,0))&lt;&gt;"No",N(INDEX('Intervals'!$C$4:$C$33,MATCH($B494,'Intervals'!$A$4:$A$33,0)))&gt;0),$E494+N(INDEX('Intervals'!$C$4:$C$33,MATCH($B494,'Intervals'!$A$4:$A$33,0))),""),""))</f>
        <v/>
      </c>
      <c r="G494" s="20">
        <f>IF(OR($B494="",$D494=""),"",IFERROR(IF(AND(INDEX('Intervals'!$G$4:$G$33,MATCH($B494,'Intervals'!$A$4:$A$33,0))&lt;&gt;"No",N(INDEX('Intervals'!$D$4:$D$33,MATCH($B494,'Intervals'!$A$4:$A$33,0)))&gt;0),EDATE($D494,N(INDEX('Intervals'!$D$4:$D$33,MATCH($B494,'Intervals'!$A$4:$A$33,0)))),""),""))</f>
        <v/>
      </c>
      <c r="H494" s="19">
        <f>IF($A494="","",IFERROR(IF(N(INDEX('Cars'!$H$4:$H$103,MATCH($A494,'Cars'!$A$4:$A$103,0)))&gt;0,INDEX('Cars'!$H$4:$H$103,MATCH($A494,'Cars'!$A$4:$A$103,0)),""),""))</f>
        <v/>
      </c>
      <c r="I494" s="19">
        <f>IF(OR($F494="",$H494=""),"",$F494-$H494)</f>
        <v/>
      </c>
      <c r="J494" s="21">
        <f>IF($G494="","",$G494-TODAY())</f>
        <v/>
      </c>
      <c r="K494" s="21">
        <f>IF($I494="","",IFERROR(IF(N(INDEX('Cars'!$J$4:$J$103,MATCH($A494,'Cars'!$A$4:$A$103,0)))&gt;0,ROUND($I494/INDEX('Cars'!$J$4:$J$103,MATCH($A494,'Cars'!$A$4:$A$103,0))*30,0),""),""))</f>
        <v/>
      </c>
      <c r="L494" s="21">
        <f>IF(AND($J494="",$K494=""),"",MIN(IF($J494="",99999,$J494),IF($K494="",99999,$K494)))</f>
        <v/>
      </c>
      <c r="M494" s="16">
        <f>IF(AND($I494="",$J494=""),"",IF(OR(AND($I494&lt;&gt;"",N($I494)&lt;0),AND($J494&lt;&gt;"",N($J494)&lt;0)),"Overdue",IF(OR(AND($I494&lt;&gt;"",N($I494)&lt;=IFERROR(INDEX('Intervals'!$E$4:$E$33,MATCH($B494,'Intervals'!$A$4:$A$33,0)),500)),AND($J494&lt;&gt;"",N($J494)&lt;=IFERROR(INDEX('Intervals'!$F$4:$F$33,MATCH($B494,'Intervals'!$A$4:$A$33,0)),14))),"Due soon","OK")))</f>
        <v/>
      </c>
      <c r="N494" s="15" t="n"/>
      <c r="O494" s="22">
        <f>IF(OR($M494="",$M494="OK"),"",$L494+ROW()/100000)</f>
        <v/>
      </c>
    </row>
    <row r="495">
      <c r="A495" s="15" t="n"/>
      <c r="B495" s="15" t="n"/>
      <c r="C495" s="16">
        <f>IF($B495="","",IFERROR(INDEX('Intervals'!$B$4:$B$33,MATCH($B495,'Intervals'!$A$4:$A$33,0)),""))</f>
        <v/>
      </c>
      <c r="D495" s="17" t="n"/>
      <c r="E495" s="18" t="n"/>
      <c r="F495" s="19">
        <f>IF(OR($B495="",$E495=""),"",IFERROR(IF(AND(INDEX('Intervals'!$G$4:$G$33,MATCH($B495,'Intervals'!$A$4:$A$33,0))&lt;&gt;"No",N(INDEX('Intervals'!$C$4:$C$33,MATCH($B495,'Intervals'!$A$4:$A$33,0)))&gt;0),$E495+N(INDEX('Intervals'!$C$4:$C$33,MATCH($B495,'Intervals'!$A$4:$A$33,0))),""),""))</f>
        <v/>
      </c>
      <c r="G495" s="20">
        <f>IF(OR($B495="",$D495=""),"",IFERROR(IF(AND(INDEX('Intervals'!$G$4:$G$33,MATCH($B495,'Intervals'!$A$4:$A$33,0))&lt;&gt;"No",N(INDEX('Intervals'!$D$4:$D$33,MATCH($B495,'Intervals'!$A$4:$A$33,0)))&gt;0),EDATE($D495,N(INDEX('Intervals'!$D$4:$D$33,MATCH($B495,'Intervals'!$A$4:$A$33,0)))),""),""))</f>
        <v/>
      </c>
      <c r="H495" s="19">
        <f>IF($A495="","",IFERROR(IF(N(INDEX('Cars'!$H$4:$H$103,MATCH($A495,'Cars'!$A$4:$A$103,0)))&gt;0,INDEX('Cars'!$H$4:$H$103,MATCH($A495,'Cars'!$A$4:$A$103,0)),""),""))</f>
        <v/>
      </c>
      <c r="I495" s="19">
        <f>IF(OR($F495="",$H495=""),"",$F495-$H495)</f>
        <v/>
      </c>
      <c r="J495" s="21">
        <f>IF($G495="","",$G495-TODAY())</f>
        <v/>
      </c>
      <c r="K495" s="21">
        <f>IF($I495="","",IFERROR(IF(N(INDEX('Cars'!$J$4:$J$103,MATCH($A495,'Cars'!$A$4:$A$103,0)))&gt;0,ROUND($I495/INDEX('Cars'!$J$4:$J$103,MATCH($A495,'Cars'!$A$4:$A$103,0))*30,0),""),""))</f>
        <v/>
      </c>
      <c r="L495" s="21">
        <f>IF(AND($J495="",$K495=""),"",MIN(IF($J495="",99999,$J495),IF($K495="",99999,$K495)))</f>
        <v/>
      </c>
      <c r="M495" s="16">
        <f>IF(AND($I495="",$J495=""),"",IF(OR(AND($I495&lt;&gt;"",N($I495)&lt;0),AND($J495&lt;&gt;"",N($J495)&lt;0)),"Overdue",IF(OR(AND($I495&lt;&gt;"",N($I495)&lt;=IFERROR(INDEX('Intervals'!$E$4:$E$33,MATCH($B495,'Intervals'!$A$4:$A$33,0)),500)),AND($J495&lt;&gt;"",N($J495)&lt;=IFERROR(INDEX('Intervals'!$F$4:$F$33,MATCH($B495,'Intervals'!$A$4:$A$33,0)),14))),"Due soon","OK")))</f>
        <v/>
      </c>
      <c r="N495" s="15" t="n"/>
      <c r="O495" s="22">
        <f>IF(OR($M495="",$M495="OK"),"",$L495+ROW()/100000)</f>
        <v/>
      </c>
    </row>
    <row r="496">
      <c r="A496" s="15" t="n"/>
      <c r="B496" s="15" t="n"/>
      <c r="C496" s="16">
        <f>IF($B496="","",IFERROR(INDEX('Intervals'!$B$4:$B$33,MATCH($B496,'Intervals'!$A$4:$A$33,0)),""))</f>
        <v/>
      </c>
      <c r="D496" s="17" t="n"/>
      <c r="E496" s="18" t="n"/>
      <c r="F496" s="19">
        <f>IF(OR($B496="",$E496=""),"",IFERROR(IF(AND(INDEX('Intervals'!$G$4:$G$33,MATCH($B496,'Intervals'!$A$4:$A$33,0))&lt;&gt;"No",N(INDEX('Intervals'!$C$4:$C$33,MATCH($B496,'Intervals'!$A$4:$A$33,0)))&gt;0),$E496+N(INDEX('Intervals'!$C$4:$C$33,MATCH($B496,'Intervals'!$A$4:$A$33,0))),""),""))</f>
        <v/>
      </c>
      <c r="G496" s="20">
        <f>IF(OR($B496="",$D496=""),"",IFERROR(IF(AND(INDEX('Intervals'!$G$4:$G$33,MATCH($B496,'Intervals'!$A$4:$A$33,0))&lt;&gt;"No",N(INDEX('Intervals'!$D$4:$D$33,MATCH($B496,'Intervals'!$A$4:$A$33,0)))&gt;0),EDATE($D496,N(INDEX('Intervals'!$D$4:$D$33,MATCH($B496,'Intervals'!$A$4:$A$33,0)))),""),""))</f>
        <v/>
      </c>
      <c r="H496" s="19">
        <f>IF($A496="","",IFERROR(IF(N(INDEX('Cars'!$H$4:$H$103,MATCH($A496,'Cars'!$A$4:$A$103,0)))&gt;0,INDEX('Cars'!$H$4:$H$103,MATCH($A496,'Cars'!$A$4:$A$103,0)),""),""))</f>
        <v/>
      </c>
      <c r="I496" s="19">
        <f>IF(OR($F496="",$H496=""),"",$F496-$H496)</f>
        <v/>
      </c>
      <c r="J496" s="21">
        <f>IF($G496="","",$G496-TODAY())</f>
        <v/>
      </c>
      <c r="K496" s="21">
        <f>IF($I496="","",IFERROR(IF(N(INDEX('Cars'!$J$4:$J$103,MATCH($A496,'Cars'!$A$4:$A$103,0)))&gt;0,ROUND($I496/INDEX('Cars'!$J$4:$J$103,MATCH($A496,'Cars'!$A$4:$A$103,0))*30,0),""),""))</f>
        <v/>
      </c>
      <c r="L496" s="21">
        <f>IF(AND($J496="",$K496=""),"",MIN(IF($J496="",99999,$J496),IF($K496="",99999,$K496)))</f>
        <v/>
      </c>
      <c r="M496" s="16">
        <f>IF(AND($I496="",$J496=""),"",IF(OR(AND($I496&lt;&gt;"",N($I496)&lt;0),AND($J496&lt;&gt;"",N($J496)&lt;0)),"Overdue",IF(OR(AND($I496&lt;&gt;"",N($I496)&lt;=IFERROR(INDEX('Intervals'!$E$4:$E$33,MATCH($B496,'Intervals'!$A$4:$A$33,0)),500)),AND($J496&lt;&gt;"",N($J496)&lt;=IFERROR(INDEX('Intervals'!$F$4:$F$33,MATCH($B496,'Intervals'!$A$4:$A$33,0)),14))),"Due soon","OK")))</f>
        <v/>
      </c>
      <c r="N496" s="15" t="n"/>
      <c r="O496" s="22">
        <f>IF(OR($M496="",$M496="OK"),"",$L496+ROW()/100000)</f>
        <v/>
      </c>
    </row>
    <row r="497">
      <c r="A497" s="15" t="n"/>
      <c r="B497" s="15" t="n"/>
      <c r="C497" s="16">
        <f>IF($B497="","",IFERROR(INDEX('Intervals'!$B$4:$B$33,MATCH($B497,'Intervals'!$A$4:$A$33,0)),""))</f>
        <v/>
      </c>
      <c r="D497" s="17" t="n"/>
      <c r="E497" s="18" t="n"/>
      <c r="F497" s="19">
        <f>IF(OR($B497="",$E497=""),"",IFERROR(IF(AND(INDEX('Intervals'!$G$4:$G$33,MATCH($B497,'Intervals'!$A$4:$A$33,0))&lt;&gt;"No",N(INDEX('Intervals'!$C$4:$C$33,MATCH($B497,'Intervals'!$A$4:$A$33,0)))&gt;0),$E497+N(INDEX('Intervals'!$C$4:$C$33,MATCH($B497,'Intervals'!$A$4:$A$33,0))),""),""))</f>
        <v/>
      </c>
      <c r="G497" s="20">
        <f>IF(OR($B497="",$D497=""),"",IFERROR(IF(AND(INDEX('Intervals'!$G$4:$G$33,MATCH($B497,'Intervals'!$A$4:$A$33,0))&lt;&gt;"No",N(INDEX('Intervals'!$D$4:$D$33,MATCH($B497,'Intervals'!$A$4:$A$33,0)))&gt;0),EDATE($D497,N(INDEX('Intervals'!$D$4:$D$33,MATCH($B497,'Intervals'!$A$4:$A$33,0)))),""),""))</f>
        <v/>
      </c>
      <c r="H497" s="19">
        <f>IF($A497="","",IFERROR(IF(N(INDEX('Cars'!$H$4:$H$103,MATCH($A497,'Cars'!$A$4:$A$103,0)))&gt;0,INDEX('Cars'!$H$4:$H$103,MATCH($A497,'Cars'!$A$4:$A$103,0)),""),""))</f>
        <v/>
      </c>
      <c r="I497" s="19">
        <f>IF(OR($F497="",$H497=""),"",$F497-$H497)</f>
        <v/>
      </c>
      <c r="J497" s="21">
        <f>IF($G497="","",$G497-TODAY())</f>
        <v/>
      </c>
      <c r="K497" s="21">
        <f>IF($I497="","",IFERROR(IF(N(INDEX('Cars'!$J$4:$J$103,MATCH($A497,'Cars'!$A$4:$A$103,0)))&gt;0,ROUND($I497/INDEX('Cars'!$J$4:$J$103,MATCH($A497,'Cars'!$A$4:$A$103,0))*30,0),""),""))</f>
        <v/>
      </c>
      <c r="L497" s="21">
        <f>IF(AND($J497="",$K497=""),"",MIN(IF($J497="",99999,$J497),IF($K497="",99999,$K497)))</f>
        <v/>
      </c>
      <c r="M497" s="16">
        <f>IF(AND($I497="",$J497=""),"",IF(OR(AND($I497&lt;&gt;"",N($I497)&lt;0),AND($J497&lt;&gt;"",N($J497)&lt;0)),"Overdue",IF(OR(AND($I497&lt;&gt;"",N($I497)&lt;=IFERROR(INDEX('Intervals'!$E$4:$E$33,MATCH($B497,'Intervals'!$A$4:$A$33,0)),500)),AND($J497&lt;&gt;"",N($J497)&lt;=IFERROR(INDEX('Intervals'!$F$4:$F$33,MATCH($B497,'Intervals'!$A$4:$A$33,0)),14))),"Due soon","OK")))</f>
        <v/>
      </c>
      <c r="N497" s="15" t="n"/>
      <c r="O497" s="22">
        <f>IF(OR($M497="",$M497="OK"),"",$L497+ROW()/100000)</f>
        <v/>
      </c>
    </row>
    <row r="498">
      <c r="A498" s="15" t="n"/>
      <c r="B498" s="15" t="n"/>
      <c r="C498" s="16">
        <f>IF($B498="","",IFERROR(INDEX('Intervals'!$B$4:$B$33,MATCH($B498,'Intervals'!$A$4:$A$33,0)),""))</f>
        <v/>
      </c>
      <c r="D498" s="17" t="n"/>
      <c r="E498" s="18" t="n"/>
      <c r="F498" s="19">
        <f>IF(OR($B498="",$E498=""),"",IFERROR(IF(AND(INDEX('Intervals'!$G$4:$G$33,MATCH($B498,'Intervals'!$A$4:$A$33,0))&lt;&gt;"No",N(INDEX('Intervals'!$C$4:$C$33,MATCH($B498,'Intervals'!$A$4:$A$33,0)))&gt;0),$E498+N(INDEX('Intervals'!$C$4:$C$33,MATCH($B498,'Intervals'!$A$4:$A$33,0))),""),""))</f>
        <v/>
      </c>
      <c r="G498" s="20">
        <f>IF(OR($B498="",$D498=""),"",IFERROR(IF(AND(INDEX('Intervals'!$G$4:$G$33,MATCH($B498,'Intervals'!$A$4:$A$33,0))&lt;&gt;"No",N(INDEX('Intervals'!$D$4:$D$33,MATCH($B498,'Intervals'!$A$4:$A$33,0)))&gt;0),EDATE($D498,N(INDEX('Intervals'!$D$4:$D$33,MATCH($B498,'Intervals'!$A$4:$A$33,0)))),""),""))</f>
        <v/>
      </c>
      <c r="H498" s="19">
        <f>IF($A498="","",IFERROR(IF(N(INDEX('Cars'!$H$4:$H$103,MATCH($A498,'Cars'!$A$4:$A$103,0)))&gt;0,INDEX('Cars'!$H$4:$H$103,MATCH($A498,'Cars'!$A$4:$A$103,0)),""),""))</f>
        <v/>
      </c>
      <c r="I498" s="19">
        <f>IF(OR($F498="",$H498=""),"",$F498-$H498)</f>
        <v/>
      </c>
      <c r="J498" s="21">
        <f>IF($G498="","",$G498-TODAY())</f>
        <v/>
      </c>
      <c r="K498" s="21">
        <f>IF($I498="","",IFERROR(IF(N(INDEX('Cars'!$J$4:$J$103,MATCH($A498,'Cars'!$A$4:$A$103,0)))&gt;0,ROUND($I498/INDEX('Cars'!$J$4:$J$103,MATCH($A498,'Cars'!$A$4:$A$103,0))*30,0),""),""))</f>
        <v/>
      </c>
      <c r="L498" s="21">
        <f>IF(AND($J498="",$K498=""),"",MIN(IF($J498="",99999,$J498),IF($K498="",99999,$K498)))</f>
        <v/>
      </c>
      <c r="M498" s="16">
        <f>IF(AND($I498="",$J498=""),"",IF(OR(AND($I498&lt;&gt;"",N($I498)&lt;0),AND($J498&lt;&gt;"",N($J498)&lt;0)),"Overdue",IF(OR(AND($I498&lt;&gt;"",N($I498)&lt;=IFERROR(INDEX('Intervals'!$E$4:$E$33,MATCH($B498,'Intervals'!$A$4:$A$33,0)),500)),AND($J498&lt;&gt;"",N($J498)&lt;=IFERROR(INDEX('Intervals'!$F$4:$F$33,MATCH($B498,'Intervals'!$A$4:$A$33,0)),14))),"Due soon","OK")))</f>
        <v/>
      </c>
      <c r="N498" s="15" t="n"/>
      <c r="O498" s="22">
        <f>IF(OR($M498="",$M498="OK"),"",$L498+ROW()/100000)</f>
        <v/>
      </c>
    </row>
    <row r="499">
      <c r="A499" s="15" t="n"/>
      <c r="B499" s="15" t="n"/>
      <c r="C499" s="16">
        <f>IF($B499="","",IFERROR(INDEX('Intervals'!$B$4:$B$33,MATCH($B499,'Intervals'!$A$4:$A$33,0)),""))</f>
        <v/>
      </c>
      <c r="D499" s="17" t="n"/>
      <c r="E499" s="18" t="n"/>
      <c r="F499" s="19">
        <f>IF(OR($B499="",$E499=""),"",IFERROR(IF(AND(INDEX('Intervals'!$G$4:$G$33,MATCH($B499,'Intervals'!$A$4:$A$33,0))&lt;&gt;"No",N(INDEX('Intervals'!$C$4:$C$33,MATCH($B499,'Intervals'!$A$4:$A$33,0)))&gt;0),$E499+N(INDEX('Intervals'!$C$4:$C$33,MATCH($B499,'Intervals'!$A$4:$A$33,0))),""),""))</f>
        <v/>
      </c>
      <c r="G499" s="20">
        <f>IF(OR($B499="",$D499=""),"",IFERROR(IF(AND(INDEX('Intervals'!$G$4:$G$33,MATCH($B499,'Intervals'!$A$4:$A$33,0))&lt;&gt;"No",N(INDEX('Intervals'!$D$4:$D$33,MATCH($B499,'Intervals'!$A$4:$A$33,0)))&gt;0),EDATE($D499,N(INDEX('Intervals'!$D$4:$D$33,MATCH($B499,'Intervals'!$A$4:$A$33,0)))),""),""))</f>
        <v/>
      </c>
      <c r="H499" s="19">
        <f>IF($A499="","",IFERROR(IF(N(INDEX('Cars'!$H$4:$H$103,MATCH($A499,'Cars'!$A$4:$A$103,0)))&gt;0,INDEX('Cars'!$H$4:$H$103,MATCH($A499,'Cars'!$A$4:$A$103,0)),""),""))</f>
        <v/>
      </c>
      <c r="I499" s="19">
        <f>IF(OR($F499="",$H499=""),"",$F499-$H499)</f>
        <v/>
      </c>
      <c r="J499" s="21">
        <f>IF($G499="","",$G499-TODAY())</f>
        <v/>
      </c>
      <c r="K499" s="21">
        <f>IF($I499="","",IFERROR(IF(N(INDEX('Cars'!$J$4:$J$103,MATCH($A499,'Cars'!$A$4:$A$103,0)))&gt;0,ROUND($I499/INDEX('Cars'!$J$4:$J$103,MATCH($A499,'Cars'!$A$4:$A$103,0))*30,0),""),""))</f>
        <v/>
      </c>
      <c r="L499" s="21">
        <f>IF(AND($J499="",$K499=""),"",MIN(IF($J499="",99999,$J499),IF($K499="",99999,$K499)))</f>
        <v/>
      </c>
      <c r="M499" s="16">
        <f>IF(AND($I499="",$J499=""),"",IF(OR(AND($I499&lt;&gt;"",N($I499)&lt;0),AND($J499&lt;&gt;"",N($J499)&lt;0)),"Overdue",IF(OR(AND($I499&lt;&gt;"",N($I499)&lt;=IFERROR(INDEX('Intervals'!$E$4:$E$33,MATCH($B499,'Intervals'!$A$4:$A$33,0)),500)),AND($J499&lt;&gt;"",N($J499)&lt;=IFERROR(INDEX('Intervals'!$F$4:$F$33,MATCH($B499,'Intervals'!$A$4:$A$33,0)),14))),"Due soon","OK")))</f>
        <v/>
      </c>
      <c r="N499" s="15" t="n"/>
      <c r="O499" s="22">
        <f>IF(OR($M499="",$M499="OK"),"",$L499+ROW()/100000)</f>
        <v/>
      </c>
    </row>
    <row r="500">
      <c r="A500" s="15" t="n"/>
      <c r="B500" s="15" t="n"/>
      <c r="C500" s="16">
        <f>IF($B500="","",IFERROR(INDEX('Intervals'!$B$4:$B$33,MATCH($B500,'Intervals'!$A$4:$A$33,0)),""))</f>
        <v/>
      </c>
      <c r="D500" s="17" t="n"/>
      <c r="E500" s="18" t="n"/>
      <c r="F500" s="19">
        <f>IF(OR($B500="",$E500=""),"",IFERROR(IF(AND(INDEX('Intervals'!$G$4:$G$33,MATCH($B500,'Intervals'!$A$4:$A$33,0))&lt;&gt;"No",N(INDEX('Intervals'!$C$4:$C$33,MATCH($B500,'Intervals'!$A$4:$A$33,0)))&gt;0),$E500+N(INDEX('Intervals'!$C$4:$C$33,MATCH($B500,'Intervals'!$A$4:$A$33,0))),""),""))</f>
        <v/>
      </c>
      <c r="G500" s="20">
        <f>IF(OR($B500="",$D500=""),"",IFERROR(IF(AND(INDEX('Intervals'!$G$4:$G$33,MATCH($B500,'Intervals'!$A$4:$A$33,0))&lt;&gt;"No",N(INDEX('Intervals'!$D$4:$D$33,MATCH($B500,'Intervals'!$A$4:$A$33,0)))&gt;0),EDATE($D500,N(INDEX('Intervals'!$D$4:$D$33,MATCH($B500,'Intervals'!$A$4:$A$33,0)))),""),""))</f>
        <v/>
      </c>
      <c r="H500" s="19">
        <f>IF($A500="","",IFERROR(IF(N(INDEX('Cars'!$H$4:$H$103,MATCH($A500,'Cars'!$A$4:$A$103,0)))&gt;0,INDEX('Cars'!$H$4:$H$103,MATCH($A500,'Cars'!$A$4:$A$103,0)),""),""))</f>
        <v/>
      </c>
      <c r="I500" s="19">
        <f>IF(OR($F500="",$H500=""),"",$F500-$H500)</f>
        <v/>
      </c>
      <c r="J500" s="21">
        <f>IF($G500="","",$G500-TODAY())</f>
        <v/>
      </c>
      <c r="K500" s="21">
        <f>IF($I500="","",IFERROR(IF(N(INDEX('Cars'!$J$4:$J$103,MATCH($A500,'Cars'!$A$4:$A$103,0)))&gt;0,ROUND($I500/INDEX('Cars'!$J$4:$J$103,MATCH($A500,'Cars'!$A$4:$A$103,0))*30,0),""),""))</f>
        <v/>
      </c>
      <c r="L500" s="21">
        <f>IF(AND($J500="",$K500=""),"",MIN(IF($J500="",99999,$J500),IF($K500="",99999,$K500)))</f>
        <v/>
      </c>
      <c r="M500" s="16">
        <f>IF(AND($I500="",$J500=""),"",IF(OR(AND($I500&lt;&gt;"",N($I500)&lt;0),AND($J500&lt;&gt;"",N($J500)&lt;0)),"Overdue",IF(OR(AND($I500&lt;&gt;"",N($I500)&lt;=IFERROR(INDEX('Intervals'!$E$4:$E$33,MATCH($B500,'Intervals'!$A$4:$A$33,0)),500)),AND($J500&lt;&gt;"",N($J500)&lt;=IFERROR(INDEX('Intervals'!$F$4:$F$33,MATCH($B500,'Intervals'!$A$4:$A$33,0)),14))),"Due soon","OK")))</f>
        <v/>
      </c>
      <c r="N500" s="15" t="n"/>
      <c r="O500" s="22">
        <f>IF(OR($M500="",$M500="OK"),"",$L500+ROW()/100000)</f>
        <v/>
      </c>
    </row>
    <row r="501">
      <c r="A501" s="15" t="n"/>
      <c r="B501" s="15" t="n"/>
      <c r="C501" s="16">
        <f>IF($B501="","",IFERROR(INDEX('Intervals'!$B$4:$B$33,MATCH($B501,'Intervals'!$A$4:$A$33,0)),""))</f>
        <v/>
      </c>
      <c r="D501" s="17" t="n"/>
      <c r="E501" s="18" t="n"/>
      <c r="F501" s="19">
        <f>IF(OR($B501="",$E501=""),"",IFERROR(IF(AND(INDEX('Intervals'!$G$4:$G$33,MATCH($B501,'Intervals'!$A$4:$A$33,0))&lt;&gt;"No",N(INDEX('Intervals'!$C$4:$C$33,MATCH($B501,'Intervals'!$A$4:$A$33,0)))&gt;0),$E501+N(INDEX('Intervals'!$C$4:$C$33,MATCH($B501,'Intervals'!$A$4:$A$33,0))),""),""))</f>
        <v/>
      </c>
      <c r="G501" s="20">
        <f>IF(OR($B501="",$D501=""),"",IFERROR(IF(AND(INDEX('Intervals'!$G$4:$G$33,MATCH($B501,'Intervals'!$A$4:$A$33,0))&lt;&gt;"No",N(INDEX('Intervals'!$D$4:$D$33,MATCH($B501,'Intervals'!$A$4:$A$33,0)))&gt;0),EDATE($D501,N(INDEX('Intervals'!$D$4:$D$33,MATCH($B501,'Intervals'!$A$4:$A$33,0)))),""),""))</f>
        <v/>
      </c>
      <c r="H501" s="19">
        <f>IF($A501="","",IFERROR(IF(N(INDEX('Cars'!$H$4:$H$103,MATCH($A501,'Cars'!$A$4:$A$103,0)))&gt;0,INDEX('Cars'!$H$4:$H$103,MATCH($A501,'Cars'!$A$4:$A$103,0)),""),""))</f>
        <v/>
      </c>
      <c r="I501" s="19">
        <f>IF(OR($F501="",$H501=""),"",$F501-$H501)</f>
        <v/>
      </c>
      <c r="J501" s="21">
        <f>IF($G501="","",$G501-TODAY())</f>
        <v/>
      </c>
      <c r="K501" s="21">
        <f>IF($I501="","",IFERROR(IF(N(INDEX('Cars'!$J$4:$J$103,MATCH($A501,'Cars'!$A$4:$A$103,0)))&gt;0,ROUND($I501/INDEX('Cars'!$J$4:$J$103,MATCH($A501,'Cars'!$A$4:$A$103,0))*30,0),""),""))</f>
        <v/>
      </c>
      <c r="L501" s="21">
        <f>IF(AND($J501="",$K501=""),"",MIN(IF($J501="",99999,$J501),IF($K501="",99999,$K501)))</f>
        <v/>
      </c>
      <c r="M501" s="16">
        <f>IF(AND($I501="",$J501=""),"",IF(OR(AND($I501&lt;&gt;"",N($I501)&lt;0),AND($J501&lt;&gt;"",N($J501)&lt;0)),"Overdue",IF(OR(AND($I501&lt;&gt;"",N($I501)&lt;=IFERROR(INDEX('Intervals'!$E$4:$E$33,MATCH($B501,'Intervals'!$A$4:$A$33,0)),500)),AND($J501&lt;&gt;"",N($J501)&lt;=IFERROR(INDEX('Intervals'!$F$4:$F$33,MATCH($B501,'Intervals'!$A$4:$A$33,0)),14))),"Due soon","OK")))</f>
        <v/>
      </c>
      <c r="N501" s="15" t="n"/>
      <c r="O501" s="22">
        <f>IF(OR($M501="",$M501="OK"),"",$L501+ROW()/100000)</f>
        <v/>
      </c>
    </row>
    <row r="502">
      <c r="A502" s="15" t="n"/>
      <c r="B502" s="15" t="n"/>
      <c r="C502" s="16">
        <f>IF($B502="","",IFERROR(INDEX('Intervals'!$B$4:$B$33,MATCH($B502,'Intervals'!$A$4:$A$33,0)),""))</f>
        <v/>
      </c>
      <c r="D502" s="17" t="n"/>
      <c r="E502" s="18" t="n"/>
      <c r="F502" s="19">
        <f>IF(OR($B502="",$E502=""),"",IFERROR(IF(AND(INDEX('Intervals'!$G$4:$G$33,MATCH($B502,'Intervals'!$A$4:$A$33,0))&lt;&gt;"No",N(INDEX('Intervals'!$C$4:$C$33,MATCH($B502,'Intervals'!$A$4:$A$33,0)))&gt;0),$E502+N(INDEX('Intervals'!$C$4:$C$33,MATCH($B502,'Intervals'!$A$4:$A$33,0))),""),""))</f>
        <v/>
      </c>
      <c r="G502" s="20">
        <f>IF(OR($B502="",$D502=""),"",IFERROR(IF(AND(INDEX('Intervals'!$G$4:$G$33,MATCH($B502,'Intervals'!$A$4:$A$33,0))&lt;&gt;"No",N(INDEX('Intervals'!$D$4:$D$33,MATCH($B502,'Intervals'!$A$4:$A$33,0)))&gt;0),EDATE($D502,N(INDEX('Intervals'!$D$4:$D$33,MATCH($B502,'Intervals'!$A$4:$A$33,0)))),""),""))</f>
        <v/>
      </c>
      <c r="H502" s="19">
        <f>IF($A502="","",IFERROR(IF(N(INDEX('Cars'!$H$4:$H$103,MATCH($A502,'Cars'!$A$4:$A$103,0)))&gt;0,INDEX('Cars'!$H$4:$H$103,MATCH($A502,'Cars'!$A$4:$A$103,0)),""),""))</f>
        <v/>
      </c>
      <c r="I502" s="19">
        <f>IF(OR($F502="",$H502=""),"",$F502-$H502)</f>
        <v/>
      </c>
      <c r="J502" s="21">
        <f>IF($G502="","",$G502-TODAY())</f>
        <v/>
      </c>
      <c r="K502" s="21">
        <f>IF($I502="","",IFERROR(IF(N(INDEX('Cars'!$J$4:$J$103,MATCH($A502,'Cars'!$A$4:$A$103,0)))&gt;0,ROUND($I502/INDEX('Cars'!$J$4:$J$103,MATCH($A502,'Cars'!$A$4:$A$103,0))*30,0),""),""))</f>
        <v/>
      </c>
      <c r="L502" s="21">
        <f>IF(AND($J502="",$K502=""),"",MIN(IF($J502="",99999,$J502),IF($K502="",99999,$K502)))</f>
        <v/>
      </c>
      <c r="M502" s="16">
        <f>IF(AND($I502="",$J502=""),"",IF(OR(AND($I502&lt;&gt;"",N($I502)&lt;0),AND($J502&lt;&gt;"",N($J502)&lt;0)),"Overdue",IF(OR(AND($I502&lt;&gt;"",N($I502)&lt;=IFERROR(INDEX('Intervals'!$E$4:$E$33,MATCH($B502,'Intervals'!$A$4:$A$33,0)),500)),AND($J502&lt;&gt;"",N($J502)&lt;=IFERROR(INDEX('Intervals'!$F$4:$F$33,MATCH($B502,'Intervals'!$A$4:$A$33,0)),14))),"Due soon","OK")))</f>
        <v/>
      </c>
      <c r="N502" s="15" t="n"/>
      <c r="O502" s="22">
        <f>IF(OR($M502="",$M502="OK"),"",$L502+ROW()/100000)</f>
        <v/>
      </c>
    </row>
    <row r="503">
      <c r="A503" s="15" t="n"/>
      <c r="B503" s="15" t="n"/>
      <c r="C503" s="16">
        <f>IF($B503="","",IFERROR(INDEX('Intervals'!$B$4:$B$33,MATCH($B503,'Intervals'!$A$4:$A$33,0)),""))</f>
        <v/>
      </c>
      <c r="D503" s="17" t="n"/>
      <c r="E503" s="18" t="n"/>
      <c r="F503" s="19">
        <f>IF(OR($B503="",$E503=""),"",IFERROR(IF(AND(INDEX('Intervals'!$G$4:$G$33,MATCH($B503,'Intervals'!$A$4:$A$33,0))&lt;&gt;"No",N(INDEX('Intervals'!$C$4:$C$33,MATCH($B503,'Intervals'!$A$4:$A$33,0)))&gt;0),$E503+N(INDEX('Intervals'!$C$4:$C$33,MATCH($B503,'Intervals'!$A$4:$A$33,0))),""),""))</f>
        <v/>
      </c>
      <c r="G503" s="20">
        <f>IF(OR($B503="",$D503=""),"",IFERROR(IF(AND(INDEX('Intervals'!$G$4:$G$33,MATCH($B503,'Intervals'!$A$4:$A$33,0))&lt;&gt;"No",N(INDEX('Intervals'!$D$4:$D$33,MATCH($B503,'Intervals'!$A$4:$A$33,0)))&gt;0),EDATE($D503,N(INDEX('Intervals'!$D$4:$D$33,MATCH($B503,'Intervals'!$A$4:$A$33,0)))),""),""))</f>
        <v/>
      </c>
      <c r="H503" s="19">
        <f>IF($A503="","",IFERROR(IF(N(INDEX('Cars'!$H$4:$H$103,MATCH($A503,'Cars'!$A$4:$A$103,0)))&gt;0,INDEX('Cars'!$H$4:$H$103,MATCH($A503,'Cars'!$A$4:$A$103,0)),""),""))</f>
        <v/>
      </c>
      <c r="I503" s="19">
        <f>IF(OR($F503="",$H503=""),"",$F503-$H503)</f>
        <v/>
      </c>
      <c r="J503" s="21">
        <f>IF($G503="","",$G503-TODAY())</f>
        <v/>
      </c>
      <c r="K503" s="21">
        <f>IF($I503="","",IFERROR(IF(N(INDEX('Cars'!$J$4:$J$103,MATCH($A503,'Cars'!$A$4:$A$103,0)))&gt;0,ROUND($I503/INDEX('Cars'!$J$4:$J$103,MATCH($A503,'Cars'!$A$4:$A$103,0))*30,0),""),""))</f>
        <v/>
      </c>
      <c r="L503" s="21">
        <f>IF(AND($J503="",$K503=""),"",MIN(IF($J503="",99999,$J503),IF($K503="",99999,$K503)))</f>
        <v/>
      </c>
      <c r="M503" s="16">
        <f>IF(AND($I503="",$J503=""),"",IF(OR(AND($I503&lt;&gt;"",N($I503)&lt;0),AND($J503&lt;&gt;"",N($J503)&lt;0)),"Overdue",IF(OR(AND($I503&lt;&gt;"",N($I503)&lt;=IFERROR(INDEX('Intervals'!$E$4:$E$33,MATCH($B503,'Intervals'!$A$4:$A$33,0)),500)),AND($J503&lt;&gt;"",N($J503)&lt;=IFERROR(INDEX('Intervals'!$F$4:$F$33,MATCH($B503,'Intervals'!$A$4:$A$33,0)),14))),"Due soon","OK")))</f>
        <v/>
      </c>
      <c r="N503" s="15" t="n"/>
      <c r="O503" s="22">
        <f>IF(OR($M503="",$M503="OK"),"",$L503+ROW()/100000)</f>
        <v/>
      </c>
    </row>
    <row r="504">
      <c r="A504" s="15" t="n"/>
      <c r="B504" s="15" t="n"/>
      <c r="C504" s="16">
        <f>IF($B504="","",IFERROR(INDEX('Intervals'!$B$4:$B$33,MATCH($B504,'Intervals'!$A$4:$A$33,0)),""))</f>
        <v/>
      </c>
      <c r="D504" s="17" t="n"/>
      <c r="E504" s="18" t="n"/>
      <c r="F504" s="19">
        <f>IF(OR($B504="",$E504=""),"",IFERROR(IF(AND(INDEX('Intervals'!$G$4:$G$33,MATCH($B504,'Intervals'!$A$4:$A$33,0))&lt;&gt;"No",N(INDEX('Intervals'!$C$4:$C$33,MATCH($B504,'Intervals'!$A$4:$A$33,0)))&gt;0),$E504+N(INDEX('Intervals'!$C$4:$C$33,MATCH($B504,'Intervals'!$A$4:$A$33,0))),""),""))</f>
        <v/>
      </c>
      <c r="G504" s="20">
        <f>IF(OR($B504="",$D504=""),"",IFERROR(IF(AND(INDEX('Intervals'!$G$4:$G$33,MATCH($B504,'Intervals'!$A$4:$A$33,0))&lt;&gt;"No",N(INDEX('Intervals'!$D$4:$D$33,MATCH($B504,'Intervals'!$A$4:$A$33,0)))&gt;0),EDATE($D504,N(INDEX('Intervals'!$D$4:$D$33,MATCH($B504,'Intervals'!$A$4:$A$33,0)))),""),""))</f>
        <v/>
      </c>
      <c r="H504" s="19">
        <f>IF($A504="","",IFERROR(IF(N(INDEX('Cars'!$H$4:$H$103,MATCH($A504,'Cars'!$A$4:$A$103,0)))&gt;0,INDEX('Cars'!$H$4:$H$103,MATCH($A504,'Cars'!$A$4:$A$103,0)),""),""))</f>
        <v/>
      </c>
      <c r="I504" s="19">
        <f>IF(OR($F504="",$H504=""),"",$F504-$H504)</f>
        <v/>
      </c>
      <c r="J504" s="21">
        <f>IF($G504="","",$G504-TODAY())</f>
        <v/>
      </c>
      <c r="K504" s="21">
        <f>IF($I504="","",IFERROR(IF(N(INDEX('Cars'!$J$4:$J$103,MATCH($A504,'Cars'!$A$4:$A$103,0)))&gt;0,ROUND($I504/INDEX('Cars'!$J$4:$J$103,MATCH($A504,'Cars'!$A$4:$A$103,0))*30,0),""),""))</f>
        <v/>
      </c>
      <c r="L504" s="21">
        <f>IF(AND($J504="",$K504=""),"",MIN(IF($J504="",99999,$J504),IF($K504="",99999,$K504)))</f>
        <v/>
      </c>
      <c r="M504" s="16">
        <f>IF(AND($I504="",$J504=""),"",IF(OR(AND($I504&lt;&gt;"",N($I504)&lt;0),AND($J504&lt;&gt;"",N($J504)&lt;0)),"Overdue",IF(OR(AND($I504&lt;&gt;"",N($I504)&lt;=IFERROR(INDEX('Intervals'!$E$4:$E$33,MATCH($B504,'Intervals'!$A$4:$A$33,0)),500)),AND($J504&lt;&gt;"",N($J504)&lt;=IFERROR(INDEX('Intervals'!$F$4:$F$33,MATCH($B504,'Intervals'!$A$4:$A$33,0)),14))),"Due soon","OK")))</f>
        <v/>
      </c>
      <c r="N504" s="15" t="n"/>
      <c r="O504" s="22">
        <f>IF(OR($M504="",$M504="OK"),"",$L504+ROW()/100000)</f>
        <v/>
      </c>
    </row>
    <row r="505">
      <c r="A505" s="15" t="n"/>
      <c r="B505" s="15" t="n"/>
      <c r="C505" s="16">
        <f>IF($B505="","",IFERROR(INDEX('Intervals'!$B$4:$B$33,MATCH($B505,'Intervals'!$A$4:$A$33,0)),""))</f>
        <v/>
      </c>
      <c r="D505" s="17" t="n"/>
      <c r="E505" s="18" t="n"/>
      <c r="F505" s="19">
        <f>IF(OR($B505="",$E505=""),"",IFERROR(IF(AND(INDEX('Intervals'!$G$4:$G$33,MATCH($B505,'Intervals'!$A$4:$A$33,0))&lt;&gt;"No",N(INDEX('Intervals'!$C$4:$C$33,MATCH($B505,'Intervals'!$A$4:$A$33,0)))&gt;0),$E505+N(INDEX('Intervals'!$C$4:$C$33,MATCH($B505,'Intervals'!$A$4:$A$33,0))),""),""))</f>
        <v/>
      </c>
      <c r="G505" s="20">
        <f>IF(OR($B505="",$D505=""),"",IFERROR(IF(AND(INDEX('Intervals'!$G$4:$G$33,MATCH($B505,'Intervals'!$A$4:$A$33,0))&lt;&gt;"No",N(INDEX('Intervals'!$D$4:$D$33,MATCH($B505,'Intervals'!$A$4:$A$33,0)))&gt;0),EDATE($D505,N(INDEX('Intervals'!$D$4:$D$33,MATCH($B505,'Intervals'!$A$4:$A$33,0)))),""),""))</f>
        <v/>
      </c>
      <c r="H505" s="19">
        <f>IF($A505="","",IFERROR(IF(N(INDEX('Cars'!$H$4:$H$103,MATCH($A505,'Cars'!$A$4:$A$103,0)))&gt;0,INDEX('Cars'!$H$4:$H$103,MATCH($A505,'Cars'!$A$4:$A$103,0)),""),""))</f>
        <v/>
      </c>
      <c r="I505" s="19">
        <f>IF(OR($F505="",$H505=""),"",$F505-$H505)</f>
        <v/>
      </c>
      <c r="J505" s="21">
        <f>IF($G505="","",$G505-TODAY())</f>
        <v/>
      </c>
      <c r="K505" s="21">
        <f>IF($I505="","",IFERROR(IF(N(INDEX('Cars'!$J$4:$J$103,MATCH($A505,'Cars'!$A$4:$A$103,0)))&gt;0,ROUND($I505/INDEX('Cars'!$J$4:$J$103,MATCH($A505,'Cars'!$A$4:$A$103,0))*30,0),""),""))</f>
        <v/>
      </c>
      <c r="L505" s="21">
        <f>IF(AND($J505="",$K505=""),"",MIN(IF($J505="",99999,$J505),IF($K505="",99999,$K505)))</f>
        <v/>
      </c>
      <c r="M505" s="16">
        <f>IF(AND($I505="",$J505=""),"",IF(OR(AND($I505&lt;&gt;"",N($I505)&lt;0),AND($J505&lt;&gt;"",N($J505)&lt;0)),"Overdue",IF(OR(AND($I505&lt;&gt;"",N($I505)&lt;=IFERROR(INDEX('Intervals'!$E$4:$E$33,MATCH($B505,'Intervals'!$A$4:$A$33,0)),500)),AND($J505&lt;&gt;"",N($J505)&lt;=IFERROR(INDEX('Intervals'!$F$4:$F$33,MATCH($B505,'Intervals'!$A$4:$A$33,0)),14))),"Due soon","OK")))</f>
        <v/>
      </c>
      <c r="N505" s="15" t="n"/>
      <c r="O505" s="22">
        <f>IF(OR($M505="",$M505="OK"),"",$L505+ROW()/100000)</f>
        <v/>
      </c>
    </row>
    <row r="506">
      <c r="A506" s="15" t="n"/>
      <c r="B506" s="15" t="n"/>
      <c r="C506" s="16">
        <f>IF($B506="","",IFERROR(INDEX('Intervals'!$B$4:$B$33,MATCH($B506,'Intervals'!$A$4:$A$33,0)),""))</f>
        <v/>
      </c>
      <c r="D506" s="17" t="n"/>
      <c r="E506" s="18" t="n"/>
      <c r="F506" s="19">
        <f>IF(OR($B506="",$E506=""),"",IFERROR(IF(AND(INDEX('Intervals'!$G$4:$G$33,MATCH($B506,'Intervals'!$A$4:$A$33,0))&lt;&gt;"No",N(INDEX('Intervals'!$C$4:$C$33,MATCH($B506,'Intervals'!$A$4:$A$33,0)))&gt;0),$E506+N(INDEX('Intervals'!$C$4:$C$33,MATCH($B506,'Intervals'!$A$4:$A$33,0))),""),""))</f>
        <v/>
      </c>
      <c r="G506" s="20">
        <f>IF(OR($B506="",$D506=""),"",IFERROR(IF(AND(INDEX('Intervals'!$G$4:$G$33,MATCH($B506,'Intervals'!$A$4:$A$33,0))&lt;&gt;"No",N(INDEX('Intervals'!$D$4:$D$33,MATCH($B506,'Intervals'!$A$4:$A$33,0)))&gt;0),EDATE($D506,N(INDEX('Intervals'!$D$4:$D$33,MATCH($B506,'Intervals'!$A$4:$A$33,0)))),""),""))</f>
        <v/>
      </c>
      <c r="H506" s="19">
        <f>IF($A506="","",IFERROR(IF(N(INDEX('Cars'!$H$4:$H$103,MATCH($A506,'Cars'!$A$4:$A$103,0)))&gt;0,INDEX('Cars'!$H$4:$H$103,MATCH($A506,'Cars'!$A$4:$A$103,0)),""),""))</f>
        <v/>
      </c>
      <c r="I506" s="19">
        <f>IF(OR($F506="",$H506=""),"",$F506-$H506)</f>
        <v/>
      </c>
      <c r="J506" s="21">
        <f>IF($G506="","",$G506-TODAY())</f>
        <v/>
      </c>
      <c r="K506" s="21">
        <f>IF($I506="","",IFERROR(IF(N(INDEX('Cars'!$J$4:$J$103,MATCH($A506,'Cars'!$A$4:$A$103,0)))&gt;0,ROUND($I506/INDEX('Cars'!$J$4:$J$103,MATCH($A506,'Cars'!$A$4:$A$103,0))*30,0),""),""))</f>
        <v/>
      </c>
      <c r="L506" s="21">
        <f>IF(AND($J506="",$K506=""),"",MIN(IF($J506="",99999,$J506),IF($K506="",99999,$K506)))</f>
        <v/>
      </c>
      <c r="M506" s="16">
        <f>IF(AND($I506="",$J506=""),"",IF(OR(AND($I506&lt;&gt;"",N($I506)&lt;0),AND($J506&lt;&gt;"",N($J506)&lt;0)),"Overdue",IF(OR(AND($I506&lt;&gt;"",N($I506)&lt;=IFERROR(INDEX('Intervals'!$E$4:$E$33,MATCH($B506,'Intervals'!$A$4:$A$33,0)),500)),AND($J506&lt;&gt;"",N($J506)&lt;=IFERROR(INDEX('Intervals'!$F$4:$F$33,MATCH($B506,'Intervals'!$A$4:$A$33,0)),14))),"Due soon","OK")))</f>
        <v/>
      </c>
      <c r="N506" s="15" t="n"/>
      <c r="O506" s="22">
        <f>IF(OR($M506="",$M506="OK"),"",$L506+ROW()/100000)</f>
        <v/>
      </c>
    </row>
    <row r="507">
      <c r="A507" s="15" t="n"/>
      <c r="B507" s="15" t="n"/>
      <c r="C507" s="16">
        <f>IF($B507="","",IFERROR(INDEX('Intervals'!$B$4:$B$33,MATCH($B507,'Intervals'!$A$4:$A$33,0)),""))</f>
        <v/>
      </c>
      <c r="D507" s="17" t="n"/>
      <c r="E507" s="18" t="n"/>
      <c r="F507" s="19">
        <f>IF(OR($B507="",$E507=""),"",IFERROR(IF(AND(INDEX('Intervals'!$G$4:$G$33,MATCH($B507,'Intervals'!$A$4:$A$33,0))&lt;&gt;"No",N(INDEX('Intervals'!$C$4:$C$33,MATCH($B507,'Intervals'!$A$4:$A$33,0)))&gt;0),$E507+N(INDEX('Intervals'!$C$4:$C$33,MATCH($B507,'Intervals'!$A$4:$A$33,0))),""),""))</f>
        <v/>
      </c>
      <c r="G507" s="20">
        <f>IF(OR($B507="",$D507=""),"",IFERROR(IF(AND(INDEX('Intervals'!$G$4:$G$33,MATCH($B507,'Intervals'!$A$4:$A$33,0))&lt;&gt;"No",N(INDEX('Intervals'!$D$4:$D$33,MATCH($B507,'Intervals'!$A$4:$A$33,0)))&gt;0),EDATE($D507,N(INDEX('Intervals'!$D$4:$D$33,MATCH($B507,'Intervals'!$A$4:$A$33,0)))),""),""))</f>
        <v/>
      </c>
      <c r="H507" s="19">
        <f>IF($A507="","",IFERROR(IF(N(INDEX('Cars'!$H$4:$H$103,MATCH($A507,'Cars'!$A$4:$A$103,0)))&gt;0,INDEX('Cars'!$H$4:$H$103,MATCH($A507,'Cars'!$A$4:$A$103,0)),""),""))</f>
        <v/>
      </c>
      <c r="I507" s="19">
        <f>IF(OR($F507="",$H507=""),"",$F507-$H507)</f>
        <v/>
      </c>
      <c r="J507" s="21">
        <f>IF($G507="","",$G507-TODAY())</f>
        <v/>
      </c>
      <c r="K507" s="21">
        <f>IF($I507="","",IFERROR(IF(N(INDEX('Cars'!$J$4:$J$103,MATCH($A507,'Cars'!$A$4:$A$103,0)))&gt;0,ROUND($I507/INDEX('Cars'!$J$4:$J$103,MATCH($A507,'Cars'!$A$4:$A$103,0))*30,0),""),""))</f>
        <v/>
      </c>
      <c r="L507" s="21">
        <f>IF(AND($J507="",$K507=""),"",MIN(IF($J507="",99999,$J507),IF($K507="",99999,$K507)))</f>
        <v/>
      </c>
      <c r="M507" s="16">
        <f>IF(AND($I507="",$J507=""),"",IF(OR(AND($I507&lt;&gt;"",N($I507)&lt;0),AND($J507&lt;&gt;"",N($J507)&lt;0)),"Overdue",IF(OR(AND($I507&lt;&gt;"",N($I507)&lt;=IFERROR(INDEX('Intervals'!$E$4:$E$33,MATCH($B507,'Intervals'!$A$4:$A$33,0)),500)),AND($J507&lt;&gt;"",N($J507)&lt;=IFERROR(INDEX('Intervals'!$F$4:$F$33,MATCH($B507,'Intervals'!$A$4:$A$33,0)),14))),"Due soon","OK")))</f>
        <v/>
      </c>
      <c r="N507" s="15" t="n"/>
      <c r="O507" s="22">
        <f>IF(OR($M507="",$M507="OK"),"",$L507+ROW()/100000)</f>
        <v/>
      </c>
    </row>
    <row r="508">
      <c r="A508" s="15" t="n"/>
      <c r="B508" s="15" t="n"/>
      <c r="C508" s="16">
        <f>IF($B508="","",IFERROR(INDEX('Intervals'!$B$4:$B$33,MATCH($B508,'Intervals'!$A$4:$A$33,0)),""))</f>
        <v/>
      </c>
      <c r="D508" s="17" t="n"/>
      <c r="E508" s="18" t="n"/>
      <c r="F508" s="19">
        <f>IF(OR($B508="",$E508=""),"",IFERROR(IF(AND(INDEX('Intervals'!$G$4:$G$33,MATCH($B508,'Intervals'!$A$4:$A$33,0))&lt;&gt;"No",N(INDEX('Intervals'!$C$4:$C$33,MATCH($B508,'Intervals'!$A$4:$A$33,0)))&gt;0),$E508+N(INDEX('Intervals'!$C$4:$C$33,MATCH($B508,'Intervals'!$A$4:$A$33,0))),""),""))</f>
        <v/>
      </c>
      <c r="G508" s="20">
        <f>IF(OR($B508="",$D508=""),"",IFERROR(IF(AND(INDEX('Intervals'!$G$4:$G$33,MATCH($B508,'Intervals'!$A$4:$A$33,0))&lt;&gt;"No",N(INDEX('Intervals'!$D$4:$D$33,MATCH($B508,'Intervals'!$A$4:$A$33,0)))&gt;0),EDATE($D508,N(INDEX('Intervals'!$D$4:$D$33,MATCH($B508,'Intervals'!$A$4:$A$33,0)))),""),""))</f>
        <v/>
      </c>
      <c r="H508" s="19">
        <f>IF($A508="","",IFERROR(IF(N(INDEX('Cars'!$H$4:$H$103,MATCH($A508,'Cars'!$A$4:$A$103,0)))&gt;0,INDEX('Cars'!$H$4:$H$103,MATCH($A508,'Cars'!$A$4:$A$103,0)),""),""))</f>
        <v/>
      </c>
      <c r="I508" s="19">
        <f>IF(OR($F508="",$H508=""),"",$F508-$H508)</f>
        <v/>
      </c>
      <c r="J508" s="21">
        <f>IF($G508="","",$G508-TODAY())</f>
        <v/>
      </c>
      <c r="K508" s="21">
        <f>IF($I508="","",IFERROR(IF(N(INDEX('Cars'!$J$4:$J$103,MATCH($A508,'Cars'!$A$4:$A$103,0)))&gt;0,ROUND($I508/INDEX('Cars'!$J$4:$J$103,MATCH($A508,'Cars'!$A$4:$A$103,0))*30,0),""),""))</f>
        <v/>
      </c>
      <c r="L508" s="21">
        <f>IF(AND($J508="",$K508=""),"",MIN(IF($J508="",99999,$J508),IF($K508="",99999,$K508)))</f>
        <v/>
      </c>
      <c r="M508" s="16">
        <f>IF(AND($I508="",$J508=""),"",IF(OR(AND($I508&lt;&gt;"",N($I508)&lt;0),AND($J508&lt;&gt;"",N($J508)&lt;0)),"Overdue",IF(OR(AND($I508&lt;&gt;"",N($I508)&lt;=IFERROR(INDEX('Intervals'!$E$4:$E$33,MATCH($B508,'Intervals'!$A$4:$A$33,0)),500)),AND($J508&lt;&gt;"",N($J508)&lt;=IFERROR(INDEX('Intervals'!$F$4:$F$33,MATCH($B508,'Intervals'!$A$4:$A$33,0)),14))),"Due soon","OK")))</f>
        <v/>
      </c>
      <c r="N508" s="15" t="n"/>
      <c r="O508" s="22">
        <f>IF(OR($M508="",$M508="OK"),"",$L508+ROW()/100000)</f>
        <v/>
      </c>
    </row>
    <row r="509">
      <c r="A509" s="15" t="n"/>
      <c r="B509" s="15" t="n"/>
      <c r="C509" s="16">
        <f>IF($B509="","",IFERROR(INDEX('Intervals'!$B$4:$B$33,MATCH($B509,'Intervals'!$A$4:$A$33,0)),""))</f>
        <v/>
      </c>
      <c r="D509" s="17" t="n"/>
      <c r="E509" s="18" t="n"/>
      <c r="F509" s="19">
        <f>IF(OR($B509="",$E509=""),"",IFERROR(IF(AND(INDEX('Intervals'!$G$4:$G$33,MATCH($B509,'Intervals'!$A$4:$A$33,0))&lt;&gt;"No",N(INDEX('Intervals'!$C$4:$C$33,MATCH($B509,'Intervals'!$A$4:$A$33,0)))&gt;0),$E509+N(INDEX('Intervals'!$C$4:$C$33,MATCH($B509,'Intervals'!$A$4:$A$33,0))),""),""))</f>
        <v/>
      </c>
      <c r="G509" s="20">
        <f>IF(OR($B509="",$D509=""),"",IFERROR(IF(AND(INDEX('Intervals'!$G$4:$G$33,MATCH($B509,'Intervals'!$A$4:$A$33,0))&lt;&gt;"No",N(INDEX('Intervals'!$D$4:$D$33,MATCH($B509,'Intervals'!$A$4:$A$33,0)))&gt;0),EDATE($D509,N(INDEX('Intervals'!$D$4:$D$33,MATCH($B509,'Intervals'!$A$4:$A$33,0)))),""),""))</f>
        <v/>
      </c>
      <c r="H509" s="19">
        <f>IF($A509="","",IFERROR(IF(N(INDEX('Cars'!$H$4:$H$103,MATCH($A509,'Cars'!$A$4:$A$103,0)))&gt;0,INDEX('Cars'!$H$4:$H$103,MATCH($A509,'Cars'!$A$4:$A$103,0)),""),""))</f>
        <v/>
      </c>
      <c r="I509" s="19">
        <f>IF(OR($F509="",$H509=""),"",$F509-$H509)</f>
        <v/>
      </c>
      <c r="J509" s="21">
        <f>IF($G509="","",$G509-TODAY())</f>
        <v/>
      </c>
      <c r="K509" s="21">
        <f>IF($I509="","",IFERROR(IF(N(INDEX('Cars'!$J$4:$J$103,MATCH($A509,'Cars'!$A$4:$A$103,0)))&gt;0,ROUND($I509/INDEX('Cars'!$J$4:$J$103,MATCH($A509,'Cars'!$A$4:$A$103,0))*30,0),""),""))</f>
        <v/>
      </c>
      <c r="L509" s="21">
        <f>IF(AND($J509="",$K509=""),"",MIN(IF($J509="",99999,$J509),IF($K509="",99999,$K509)))</f>
        <v/>
      </c>
      <c r="M509" s="16">
        <f>IF(AND($I509="",$J509=""),"",IF(OR(AND($I509&lt;&gt;"",N($I509)&lt;0),AND($J509&lt;&gt;"",N($J509)&lt;0)),"Overdue",IF(OR(AND($I509&lt;&gt;"",N($I509)&lt;=IFERROR(INDEX('Intervals'!$E$4:$E$33,MATCH($B509,'Intervals'!$A$4:$A$33,0)),500)),AND($J509&lt;&gt;"",N($J509)&lt;=IFERROR(INDEX('Intervals'!$F$4:$F$33,MATCH($B509,'Intervals'!$A$4:$A$33,0)),14))),"Due soon","OK")))</f>
        <v/>
      </c>
      <c r="N509" s="15" t="n"/>
      <c r="O509" s="22">
        <f>IF(OR($M509="",$M509="OK"),"",$L509+ROW()/100000)</f>
        <v/>
      </c>
    </row>
    <row r="510">
      <c r="A510" s="15" t="n"/>
      <c r="B510" s="15" t="n"/>
      <c r="C510" s="16">
        <f>IF($B510="","",IFERROR(INDEX('Intervals'!$B$4:$B$33,MATCH($B510,'Intervals'!$A$4:$A$33,0)),""))</f>
        <v/>
      </c>
      <c r="D510" s="17" t="n"/>
      <c r="E510" s="18" t="n"/>
      <c r="F510" s="19">
        <f>IF(OR($B510="",$E510=""),"",IFERROR(IF(AND(INDEX('Intervals'!$G$4:$G$33,MATCH($B510,'Intervals'!$A$4:$A$33,0))&lt;&gt;"No",N(INDEX('Intervals'!$C$4:$C$33,MATCH($B510,'Intervals'!$A$4:$A$33,0)))&gt;0),$E510+N(INDEX('Intervals'!$C$4:$C$33,MATCH($B510,'Intervals'!$A$4:$A$33,0))),""),""))</f>
        <v/>
      </c>
      <c r="G510" s="20">
        <f>IF(OR($B510="",$D510=""),"",IFERROR(IF(AND(INDEX('Intervals'!$G$4:$G$33,MATCH($B510,'Intervals'!$A$4:$A$33,0))&lt;&gt;"No",N(INDEX('Intervals'!$D$4:$D$33,MATCH($B510,'Intervals'!$A$4:$A$33,0)))&gt;0),EDATE($D510,N(INDEX('Intervals'!$D$4:$D$33,MATCH($B510,'Intervals'!$A$4:$A$33,0)))),""),""))</f>
        <v/>
      </c>
      <c r="H510" s="19">
        <f>IF($A510="","",IFERROR(IF(N(INDEX('Cars'!$H$4:$H$103,MATCH($A510,'Cars'!$A$4:$A$103,0)))&gt;0,INDEX('Cars'!$H$4:$H$103,MATCH($A510,'Cars'!$A$4:$A$103,0)),""),""))</f>
        <v/>
      </c>
      <c r="I510" s="19">
        <f>IF(OR($F510="",$H510=""),"",$F510-$H510)</f>
        <v/>
      </c>
      <c r="J510" s="21">
        <f>IF($G510="","",$G510-TODAY())</f>
        <v/>
      </c>
      <c r="K510" s="21">
        <f>IF($I510="","",IFERROR(IF(N(INDEX('Cars'!$J$4:$J$103,MATCH($A510,'Cars'!$A$4:$A$103,0)))&gt;0,ROUND($I510/INDEX('Cars'!$J$4:$J$103,MATCH($A510,'Cars'!$A$4:$A$103,0))*30,0),""),""))</f>
        <v/>
      </c>
      <c r="L510" s="21">
        <f>IF(AND($J510="",$K510=""),"",MIN(IF($J510="",99999,$J510),IF($K510="",99999,$K510)))</f>
        <v/>
      </c>
      <c r="M510" s="16">
        <f>IF(AND($I510="",$J510=""),"",IF(OR(AND($I510&lt;&gt;"",N($I510)&lt;0),AND($J510&lt;&gt;"",N($J510)&lt;0)),"Overdue",IF(OR(AND($I510&lt;&gt;"",N($I510)&lt;=IFERROR(INDEX('Intervals'!$E$4:$E$33,MATCH($B510,'Intervals'!$A$4:$A$33,0)),500)),AND($J510&lt;&gt;"",N($J510)&lt;=IFERROR(INDEX('Intervals'!$F$4:$F$33,MATCH($B510,'Intervals'!$A$4:$A$33,0)),14))),"Due soon","OK")))</f>
        <v/>
      </c>
      <c r="N510" s="15" t="n"/>
      <c r="O510" s="22">
        <f>IF(OR($M510="",$M510="OK"),"",$L510+ROW()/100000)</f>
        <v/>
      </c>
    </row>
    <row r="511">
      <c r="A511" s="15" t="n"/>
      <c r="B511" s="15" t="n"/>
      <c r="C511" s="16">
        <f>IF($B511="","",IFERROR(INDEX('Intervals'!$B$4:$B$33,MATCH($B511,'Intervals'!$A$4:$A$33,0)),""))</f>
        <v/>
      </c>
      <c r="D511" s="17" t="n"/>
      <c r="E511" s="18" t="n"/>
      <c r="F511" s="19">
        <f>IF(OR($B511="",$E511=""),"",IFERROR(IF(AND(INDEX('Intervals'!$G$4:$G$33,MATCH($B511,'Intervals'!$A$4:$A$33,0))&lt;&gt;"No",N(INDEX('Intervals'!$C$4:$C$33,MATCH($B511,'Intervals'!$A$4:$A$33,0)))&gt;0),$E511+N(INDEX('Intervals'!$C$4:$C$33,MATCH($B511,'Intervals'!$A$4:$A$33,0))),""),""))</f>
        <v/>
      </c>
      <c r="G511" s="20">
        <f>IF(OR($B511="",$D511=""),"",IFERROR(IF(AND(INDEX('Intervals'!$G$4:$G$33,MATCH($B511,'Intervals'!$A$4:$A$33,0))&lt;&gt;"No",N(INDEX('Intervals'!$D$4:$D$33,MATCH($B511,'Intervals'!$A$4:$A$33,0)))&gt;0),EDATE($D511,N(INDEX('Intervals'!$D$4:$D$33,MATCH($B511,'Intervals'!$A$4:$A$33,0)))),""),""))</f>
        <v/>
      </c>
      <c r="H511" s="19">
        <f>IF($A511="","",IFERROR(IF(N(INDEX('Cars'!$H$4:$H$103,MATCH($A511,'Cars'!$A$4:$A$103,0)))&gt;0,INDEX('Cars'!$H$4:$H$103,MATCH($A511,'Cars'!$A$4:$A$103,0)),""),""))</f>
        <v/>
      </c>
      <c r="I511" s="19">
        <f>IF(OR($F511="",$H511=""),"",$F511-$H511)</f>
        <v/>
      </c>
      <c r="J511" s="21">
        <f>IF($G511="","",$G511-TODAY())</f>
        <v/>
      </c>
      <c r="K511" s="21">
        <f>IF($I511="","",IFERROR(IF(N(INDEX('Cars'!$J$4:$J$103,MATCH($A511,'Cars'!$A$4:$A$103,0)))&gt;0,ROUND($I511/INDEX('Cars'!$J$4:$J$103,MATCH($A511,'Cars'!$A$4:$A$103,0))*30,0),""),""))</f>
        <v/>
      </c>
      <c r="L511" s="21">
        <f>IF(AND($J511="",$K511=""),"",MIN(IF($J511="",99999,$J511),IF($K511="",99999,$K511)))</f>
        <v/>
      </c>
      <c r="M511" s="16">
        <f>IF(AND($I511="",$J511=""),"",IF(OR(AND($I511&lt;&gt;"",N($I511)&lt;0),AND($J511&lt;&gt;"",N($J511)&lt;0)),"Overdue",IF(OR(AND($I511&lt;&gt;"",N($I511)&lt;=IFERROR(INDEX('Intervals'!$E$4:$E$33,MATCH($B511,'Intervals'!$A$4:$A$33,0)),500)),AND($J511&lt;&gt;"",N($J511)&lt;=IFERROR(INDEX('Intervals'!$F$4:$F$33,MATCH($B511,'Intervals'!$A$4:$A$33,0)),14))),"Due soon","OK")))</f>
        <v/>
      </c>
      <c r="N511" s="15" t="n"/>
      <c r="O511" s="22">
        <f>IF(OR($M511="",$M511="OK"),"",$L511+ROW()/100000)</f>
        <v/>
      </c>
    </row>
    <row r="512">
      <c r="A512" s="15" t="n"/>
      <c r="B512" s="15" t="n"/>
      <c r="C512" s="16">
        <f>IF($B512="","",IFERROR(INDEX('Intervals'!$B$4:$B$33,MATCH($B512,'Intervals'!$A$4:$A$33,0)),""))</f>
        <v/>
      </c>
      <c r="D512" s="17" t="n"/>
      <c r="E512" s="18" t="n"/>
      <c r="F512" s="19">
        <f>IF(OR($B512="",$E512=""),"",IFERROR(IF(AND(INDEX('Intervals'!$G$4:$G$33,MATCH($B512,'Intervals'!$A$4:$A$33,0))&lt;&gt;"No",N(INDEX('Intervals'!$C$4:$C$33,MATCH($B512,'Intervals'!$A$4:$A$33,0)))&gt;0),$E512+N(INDEX('Intervals'!$C$4:$C$33,MATCH($B512,'Intervals'!$A$4:$A$33,0))),""),""))</f>
        <v/>
      </c>
      <c r="G512" s="20">
        <f>IF(OR($B512="",$D512=""),"",IFERROR(IF(AND(INDEX('Intervals'!$G$4:$G$33,MATCH($B512,'Intervals'!$A$4:$A$33,0))&lt;&gt;"No",N(INDEX('Intervals'!$D$4:$D$33,MATCH($B512,'Intervals'!$A$4:$A$33,0)))&gt;0),EDATE($D512,N(INDEX('Intervals'!$D$4:$D$33,MATCH($B512,'Intervals'!$A$4:$A$33,0)))),""),""))</f>
        <v/>
      </c>
      <c r="H512" s="19">
        <f>IF($A512="","",IFERROR(IF(N(INDEX('Cars'!$H$4:$H$103,MATCH($A512,'Cars'!$A$4:$A$103,0)))&gt;0,INDEX('Cars'!$H$4:$H$103,MATCH($A512,'Cars'!$A$4:$A$103,0)),""),""))</f>
        <v/>
      </c>
      <c r="I512" s="19">
        <f>IF(OR($F512="",$H512=""),"",$F512-$H512)</f>
        <v/>
      </c>
      <c r="J512" s="21">
        <f>IF($G512="","",$G512-TODAY())</f>
        <v/>
      </c>
      <c r="K512" s="21">
        <f>IF($I512="","",IFERROR(IF(N(INDEX('Cars'!$J$4:$J$103,MATCH($A512,'Cars'!$A$4:$A$103,0)))&gt;0,ROUND($I512/INDEX('Cars'!$J$4:$J$103,MATCH($A512,'Cars'!$A$4:$A$103,0))*30,0),""),""))</f>
        <v/>
      </c>
      <c r="L512" s="21">
        <f>IF(AND($J512="",$K512=""),"",MIN(IF($J512="",99999,$J512),IF($K512="",99999,$K512)))</f>
        <v/>
      </c>
      <c r="M512" s="16">
        <f>IF(AND($I512="",$J512=""),"",IF(OR(AND($I512&lt;&gt;"",N($I512)&lt;0),AND($J512&lt;&gt;"",N($J512)&lt;0)),"Overdue",IF(OR(AND($I512&lt;&gt;"",N($I512)&lt;=IFERROR(INDEX('Intervals'!$E$4:$E$33,MATCH($B512,'Intervals'!$A$4:$A$33,0)),500)),AND($J512&lt;&gt;"",N($J512)&lt;=IFERROR(INDEX('Intervals'!$F$4:$F$33,MATCH($B512,'Intervals'!$A$4:$A$33,0)),14))),"Due soon","OK")))</f>
        <v/>
      </c>
      <c r="N512" s="15" t="n"/>
      <c r="O512" s="22">
        <f>IF(OR($M512="",$M512="OK"),"",$L512+ROW()/100000)</f>
        <v/>
      </c>
    </row>
    <row r="513">
      <c r="A513" s="15" t="n"/>
      <c r="B513" s="15" t="n"/>
      <c r="C513" s="16">
        <f>IF($B513="","",IFERROR(INDEX('Intervals'!$B$4:$B$33,MATCH($B513,'Intervals'!$A$4:$A$33,0)),""))</f>
        <v/>
      </c>
      <c r="D513" s="17" t="n"/>
      <c r="E513" s="18" t="n"/>
      <c r="F513" s="19">
        <f>IF(OR($B513="",$E513=""),"",IFERROR(IF(AND(INDEX('Intervals'!$G$4:$G$33,MATCH($B513,'Intervals'!$A$4:$A$33,0))&lt;&gt;"No",N(INDEX('Intervals'!$C$4:$C$33,MATCH($B513,'Intervals'!$A$4:$A$33,0)))&gt;0),$E513+N(INDEX('Intervals'!$C$4:$C$33,MATCH($B513,'Intervals'!$A$4:$A$33,0))),""),""))</f>
        <v/>
      </c>
      <c r="G513" s="20">
        <f>IF(OR($B513="",$D513=""),"",IFERROR(IF(AND(INDEX('Intervals'!$G$4:$G$33,MATCH($B513,'Intervals'!$A$4:$A$33,0))&lt;&gt;"No",N(INDEX('Intervals'!$D$4:$D$33,MATCH($B513,'Intervals'!$A$4:$A$33,0)))&gt;0),EDATE($D513,N(INDEX('Intervals'!$D$4:$D$33,MATCH($B513,'Intervals'!$A$4:$A$33,0)))),""),""))</f>
        <v/>
      </c>
      <c r="H513" s="19">
        <f>IF($A513="","",IFERROR(IF(N(INDEX('Cars'!$H$4:$H$103,MATCH($A513,'Cars'!$A$4:$A$103,0)))&gt;0,INDEX('Cars'!$H$4:$H$103,MATCH($A513,'Cars'!$A$4:$A$103,0)),""),""))</f>
        <v/>
      </c>
      <c r="I513" s="19">
        <f>IF(OR($F513="",$H513=""),"",$F513-$H513)</f>
        <v/>
      </c>
      <c r="J513" s="21">
        <f>IF($G513="","",$G513-TODAY())</f>
        <v/>
      </c>
      <c r="K513" s="21">
        <f>IF($I513="","",IFERROR(IF(N(INDEX('Cars'!$J$4:$J$103,MATCH($A513,'Cars'!$A$4:$A$103,0)))&gt;0,ROUND($I513/INDEX('Cars'!$J$4:$J$103,MATCH($A513,'Cars'!$A$4:$A$103,0))*30,0),""),""))</f>
        <v/>
      </c>
      <c r="L513" s="21">
        <f>IF(AND($J513="",$K513=""),"",MIN(IF($J513="",99999,$J513),IF($K513="",99999,$K513)))</f>
        <v/>
      </c>
      <c r="M513" s="16">
        <f>IF(AND($I513="",$J513=""),"",IF(OR(AND($I513&lt;&gt;"",N($I513)&lt;0),AND($J513&lt;&gt;"",N($J513)&lt;0)),"Overdue",IF(OR(AND($I513&lt;&gt;"",N($I513)&lt;=IFERROR(INDEX('Intervals'!$E$4:$E$33,MATCH($B513,'Intervals'!$A$4:$A$33,0)),500)),AND($J513&lt;&gt;"",N($J513)&lt;=IFERROR(INDEX('Intervals'!$F$4:$F$33,MATCH($B513,'Intervals'!$A$4:$A$33,0)),14))),"Due soon","OK")))</f>
        <v/>
      </c>
      <c r="N513" s="15" t="n"/>
      <c r="O513" s="22">
        <f>IF(OR($M513="",$M513="OK"),"",$L513+ROW()/100000)</f>
        <v/>
      </c>
    </row>
    <row r="514">
      <c r="A514" s="15" t="n"/>
      <c r="B514" s="15" t="n"/>
      <c r="C514" s="16">
        <f>IF($B514="","",IFERROR(INDEX('Intervals'!$B$4:$B$33,MATCH($B514,'Intervals'!$A$4:$A$33,0)),""))</f>
        <v/>
      </c>
      <c r="D514" s="17" t="n"/>
      <c r="E514" s="18" t="n"/>
      <c r="F514" s="19">
        <f>IF(OR($B514="",$E514=""),"",IFERROR(IF(AND(INDEX('Intervals'!$G$4:$G$33,MATCH($B514,'Intervals'!$A$4:$A$33,0))&lt;&gt;"No",N(INDEX('Intervals'!$C$4:$C$33,MATCH($B514,'Intervals'!$A$4:$A$33,0)))&gt;0),$E514+N(INDEX('Intervals'!$C$4:$C$33,MATCH($B514,'Intervals'!$A$4:$A$33,0))),""),""))</f>
        <v/>
      </c>
      <c r="G514" s="20">
        <f>IF(OR($B514="",$D514=""),"",IFERROR(IF(AND(INDEX('Intervals'!$G$4:$G$33,MATCH($B514,'Intervals'!$A$4:$A$33,0))&lt;&gt;"No",N(INDEX('Intervals'!$D$4:$D$33,MATCH($B514,'Intervals'!$A$4:$A$33,0)))&gt;0),EDATE($D514,N(INDEX('Intervals'!$D$4:$D$33,MATCH($B514,'Intervals'!$A$4:$A$33,0)))),""),""))</f>
        <v/>
      </c>
      <c r="H514" s="19">
        <f>IF($A514="","",IFERROR(IF(N(INDEX('Cars'!$H$4:$H$103,MATCH($A514,'Cars'!$A$4:$A$103,0)))&gt;0,INDEX('Cars'!$H$4:$H$103,MATCH($A514,'Cars'!$A$4:$A$103,0)),""),""))</f>
        <v/>
      </c>
      <c r="I514" s="19">
        <f>IF(OR($F514="",$H514=""),"",$F514-$H514)</f>
        <v/>
      </c>
      <c r="J514" s="21">
        <f>IF($G514="","",$G514-TODAY())</f>
        <v/>
      </c>
      <c r="K514" s="21">
        <f>IF($I514="","",IFERROR(IF(N(INDEX('Cars'!$J$4:$J$103,MATCH($A514,'Cars'!$A$4:$A$103,0)))&gt;0,ROUND($I514/INDEX('Cars'!$J$4:$J$103,MATCH($A514,'Cars'!$A$4:$A$103,0))*30,0),""),""))</f>
        <v/>
      </c>
      <c r="L514" s="21">
        <f>IF(AND($J514="",$K514=""),"",MIN(IF($J514="",99999,$J514),IF($K514="",99999,$K514)))</f>
        <v/>
      </c>
      <c r="M514" s="16">
        <f>IF(AND($I514="",$J514=""),"",IF(OR(AND($I514&lt;&gt;"",N($I514)&lt;0),AND($J514&lt;&gt;"",N($J514)&lt;0)),"Overdue",IF(OR(AND($I514&lt;&gt;"",N($I514)&lt;=IFERROR(INDEX('Intervals'!$E$4:$E$33,MATCH($B514,'Intervals'!$A$4:$A$33,0)),500)),AND($J514&lt;&gt;"",N($J514)&lt;=IFERROR(INDEX('Intervals'!$F$4:$F$33,MATCH($B514,'Intervals'!$A$4:$A$33,0)),14))),"Due soon","OK")))</f>
        <v/>
      </c>
      <c r="N514" s="15" t="n"/>
      <c r="O514" s="22">
        <f>IF(OR($M514="",$M514="OK"),"",$L514+ROW()/100000)</f>
        <v/>
      </c>
    </row>
    <row r="515">
      <c r="A515" s="15" t="n"/>
      <c r="B515" s="15" t="n"/>
      <c r="C515" s="16">
        <f>IF($B515="","",IFERROR(INDEX('Intervals'!$B$4:$B$33,MATCH($B515,'Intervals'!$A$4:$A$33,0)),""))</f>
        <v/>
      </c>
      <c r="D515" s="17" t="n"/>
      <c r="E515" s="18" t="n"/>
      <c r="F515" s="19">
        <f>IF(OR($B515="",$E515=""),"",IFERROR(IF(AND(INDEX('Intervals'!$G$4:$G$33,MATCH($B515,'Intervals'!$A$4:$A$33,0))&lt;&gt;"No",N(INDEX('Intervals'!$C$4:$C$33,MATCH($B515,'Intervals'!$A$4:$A$33,0)))&gt;0),$E515+N(INDEX('Intervals'!$C$4:$C$33,MATCH($B515,'Intervals'!$A$4:$A$33,0))),""),""))</f>
        <v/>
      </c>
      <c r="G515" s="20">
        <f>IF(OR($B515="",$D515=""),"",IFERROR(IF(AND(INDEX('Intervals'!$G$4:$G$33,MATCH($B515,'Intervals'!$A$4:$A$33,0))&lt;&gt;"No",N(INDEX('Intervals'!$D$4:$D$33,MATCH($B515,'Intervals'!$A$4:$A$33,0)))&gt;0),EDATE($D515,N(INDEX('Intervals'!$D$4:$D$33,MATCH($B515,'Intervals'!$A$4:$A$33,0)))),""),""))</f>
        <v/>
      </c>
      <c r="H515" s="19">
        <f>IF($A515="","",IFERROR(IF(N(INDEX('Cars'!$H$4:$H$103,MATCH($A515,'Cars'!$A$4:$A$103,0)))&gt;0,INDEX('Cars'!$H$4:$H$103,MATCH($A515,'Cars'!$A$4:$A$103,0)),""),""))</f>
        <v/>
      </c>
      <c r="I515" s="19">
        <f>IF(OR($F515="",$H515=""),"",$F515-$H515)</f>
        <v/>
      </c>
      <c r="J515" s="21">
        <f>IF($G515="","",$G515-TODAY())</f>
        <v/>
      </c>
      <c r="K515" s="21">
        <f>IF($I515="","",IFERROR(IF(N(INDEX('Cars'!$J$4:$J$103,MATCH($A515,'Cars'!$A$4:$A$103,0)))&gt;0,ROUND($I515/INDEX('Cars'!$J$4:$J$103,MATCH($A515,'Cars'!$A$4:$A$103,0))*30,0),""),""))</f>
        <v/>
      </c>
      <c r="L515" s="21">
        <f>IF(AND($J515="",$K515=""),"",MIN(IF($J515="",99999,$J515),IF($K515="",99999,$K515)))</f>
        <v/>
      </c>
      <c r="M515" s="16">
        <f>IF(AND($I515="",$J515=""),"",IF(OR(AND($I515&lt;&gt;"",N($I515)&lt;0),AND($J515&lt;&gt;"",N($J515)&lt;0)),"Overdue",IF(OR(AND($I515&lt;&gt;"",N($I515)&lt;=IFERROR(INDEX('Intervals'!$E$4:$E$33,MATCH($B515,'Intervals'!$A$4:$A$33,0)),500)),AND($J515&lt;&gt;"",N($J515)&lt;=IFERROR(INDEX('Intervals'!$F$4:$F$33,MATCH($B515,'Intervals'!$A$4:$A$33,0)),14))),"Due soon","OK")))</f>
        <v/>
      </c>
      <c r="N515" s="15" t="n"/>
      <c r="O515" s="22">
        <f>IF(OR($M515="",$M515="OK"),"",$L515+ROW()/100000)</f>
        <v/>
      </c>
    </row>
    <row r="516">
      <c r="A516" s="15" t="n"/>
      <c r="B516" s="15" t="n"/>
      <c r="C516" s="16">
        <f>IF($B516="","",IFERROR(INDEX('Intervals'!$B$4:$B$33,MATCH($B516,'Intervals'!$A$4:$A$33,0)),""))</f>
        <v/>
      </c>
      <c r="D516" s="17" t="n"/>
      <c r="E516" s="18" t="n"/>
      <c r="F516" s="19">
        <f>IF(OR($B516="",$E516=""),"",IFERROR(IF(AND(INDEX('Intervals'!$G$4:$G$33,MATCH($B516,'Intervals'!$A$4:$A$33,0))&lt;&gt;"No",N(INDEX('Intervals'!$C$4:$C$33,MATCH($B516,'Intervals'!$A$4:$A$33,0)))&gt;0),$E516+N(INDEX('Intervals'!$C$4:$C$33,MATCH($B516,'Intervals'!$A$4:$A$33,0))),""),""))</f>
        <v/>
      </c>
      <c r="G516" s="20">
        <f>IF(OR($B516="",$D516=""),"",IFERROR(IF(AND(INDEX('Intervals'!$G$4:$G$33,MATCH($B516,'Intervals'!$A$4:$A$33,0))&lt;&gt;"No",N(INDEX('Intervals'!$D$4:$D$33,MATCH($B516,'Intervals'!$A$4:$A$33,0)))&gt;0),EDATE($D516,N(INDEX('Intervals'!$D$4:$D$33,MATCH($B516,'Intervals'!$A$4:$A$33,0)))),""),""))</f>
        <v/>
      </c>
      <c r="H516" s="19">
        <f>IF($A516="","",IFERROR(IF(N(INDEX('Cars'!$H$4:$H$103,MATCH($A516,'Cars'!$A$4:$A$103,0)))&gt;0,INDEX('Cars'!$H$4:$H$103,MATCH($A516,'Cars'!$A$4:$A$103,0)),""),""))</f>
        <v/>
      </c>
      <c r="I516" s="19">
        <f>IF(OR($F516="",$H516=""),"",$F516-$H516)</f>
        <v/>
      </c>
      <c r="J516" s="21">
        <f>IF($G516="","",$G516-TODAY())</f>
        <v/>
      </c>
      <c r="K516" s="21">
        <f>IF($I516="","",IFERROR(IF(N(INDEX('Cars'!$J$4:$J$103,MATCH($A516,'Cars'!$A$4:$A$103,0)))&gt;0,ROUND($I516/INDEX('Cars'!$J$4:$J$103,MATCH($A516,'Cars'!$A$4:$A$103,0))*30,0),""),""))</f>
        <v/>
      </c>
      <c r="L516" s="21">
        <f>IF(AND($J516="",$K516=""),"",MIN(IF($J516="",99999,$J516),IF($K516="",99999,$K516)))</f>
        <v/>
      </c>
      <c r="M516" s="16">
        <f>IF(AND($I516="",$J516=""),"",IF(OR(AND($I516&lt;&gt;"",N($I516)&lt;0),AND($J516&lt;&gt;"",N($J516)&lt;0)),"Overdue",IF(OR(AND($I516&lt;&gt;"",N($I516)&lt;=IFERROR(INDEX('Intervals'!$E$4:$E$33,MATCH($B516,'Intervals'!$A$4:$A$33,0)),500)),AND($J516&lt;&gt;"",N($J516)&lt;=IFERROR(INDEX('Intervals'!$F$4:$F$33,MATCH($B516,'Intervals'!$A$4:$A$33,0)),14))),"Due soon","OK")))</f>
        <v/>
      </c>
      <c r="N516" s="15" t="n"/>
      <c r="O516" s="22">
        <f>IF(OR($M516="",$M516="OK"),"",$L516+ROW()/100000)</f>
        <v/>
      </c>
    </row>
    <row r="517">
      <c r="A517" s="15" t="n"/>
      <c r="B517" s="15" t="n"/>
      <c r="C517" s="16">
        <f>IF($B517="","",IFERROR(INDEX('Intervals'!$B$4:$B$33,MATCH($B517,'Intervals'!$A$4:$A$33,0)),""))</f>
        <v/>
      </c>
      <c r="D517" s="17" t="n"/>
      <c r="E517" s="18" t="n"/>
      <c r="F517" s="19">
        <f>IF(OR($B517="",$E517=""),"",IFERROR(IF(AND(INDEX('Intervals'!$G$4:$G$33,MATCH($B517,'Intervals'!$A$4:$A$33,0))&lt;&gt;"No",N(INDEX('Intervals'!$C$4:$C$33,MATCH($B517,'Intervals'!$A$4:$A$33,0)))&gt;0),$E517+N(INDEX('Intervals'!$C$4:$C$33,MATCH($B517,'Intervals'!$A$4:$A$33,0))),""),""))</f>
        <v/>
      </c>
      <c r="G517" s="20">
        <f>IF(OR($B517="",$D517=""),"",IFERROR(IF(AND(INDEX('Intervals'!$G$4:$G$33,MATCH($B517,'Intervals'!$A$4:$A$33,0))&lt;&gt;"No",N(INDEX('Intervals'!$D$4:$D$33,MATCH($B517,'Intervals'!$A$4:$A$33,0)))&gt;0),EDATE($D517,N(INDEX('Intervals'!$D$4:$D$33,MATCH($B517,'Intervals'!$A$4:$A$33,0)))),""),""))</f>
        <v/>
      </c>
      <c r="H517" s="19">
        <f>IF($A517="","",IFERROR(IF(N(INDEX('Cars'!$H$4:$H$103,MATCH($A517,'Cars'!$A$4:$A$103,0)))&gt;0,INDEX('Cars'!$H$4:$H$103,MATCH($A517,'Cars'!$A$4:$A$103,0)),""),""))</f>
        <v/>
      </c>
      <c r="I517" s="19">
        <f>IF(OR($F517="",$H517=""),"",$F517-$H517)</f>
        <v/>
      </c>
      <c r="J517" s="21">
        <f>IF($G517="","",$G517-TODAY())</f>
        <v/>
      </c>
      <c r="K517" s="21">
        <f>IF($I517="","",IFERROR(IF(N(INDEX('Cars'!$J$4:$J$103,MATCH($A517,'Cars'!$A$4:$A$103,0)))&gt;0,ROUND($I517/INDEX('Cars'!$J$4:$J$103,MATCH($A517,'Cars'!$A$4:$A$103,0))*30,0),""),""))</f>
        <v/>
      </c>
      <c r="L517" s="21">
        <f>IF(AND($J517="",$K517=""),"",MIN(IF($J517="",99999,$J517),IF($K517="",99999,$K517)))</f>
        <v/>
      </c>
      <c r="M517" s="16">
        <f>IF(AND($I517="",$J517=""),"",IF(OR(AND($I517&lt;&gt;"",N($I517)&lt;0),AND($J517&lt;&gt;"",N($J517)&lt;0)),"Overdue",IF(OR(AND($I517&lt;&gt;"",N($I517)&lt;=IFERROR(INDEX('Intervals'!$E$4:$E$33,MATCH($B517,'Intervals'!$A$4:$A$33,0)),500)),AND($J517&lt;&gt;"",N($J517)&lt;=IFERROR(INDEX('Intervals'!$F$4:$F$33,MATCH($B517,'Intervals'!$A$4:$A$33,0)),14))),"Due soon","OK")))</f>
        <v/>
      </c>
      <c r="N517" s="15" t="n"/>
      <c r="O517" s="22">
        <f>IF(OR($M517="",$M517="OK"),"",$L517+ROW()/100000)</f>
        <v/>
      </c>
    </row>
    <row r="518">
      <c r="A518" s="15" t="n"/>
      <c r="B518" s="15" t="n"/>
      <c r="C518" s="16">
        <f>IF($B518="","",IFERROR(INDEX('Intervals'!$B$4:$B$33,MATCH($B518,'Intervals'!$A$4:$A$33,0)),""))</f>
        <v/>
      </c>
      <c r="D518" s="17" t="n"/>
      <c r="E518" s="18" t="n"/>
      <c r="F518" s="19">
        <f>IF(OR($B518="",$E518=""),"",IFERROR(IF(AND(INDEX('Intervals'!$G$4:$G$33,MATCH($B518,'Intervals'!$A$4:$A$33,0))&lt;&gt;"No",N(INDEX('Intervals'!$C$4:$C$33,MATCH($B518,'Intervals'!$A$4:$A$33,0)))&gt;0),$E518+N(INDEX('Intervals'!$C$4:$C$33,MATCH($B518,'Intervals'!$A$4:$A$33,0))),""),""))</f>
        <v/>
      </c>
      <c r="G518" s="20">
        <f>IF(OR($B518="",$D518=""),"",IFERROR(IF(AND(INDEX('Intervals'!$G$4:$G$33,MATCH($B518,'Intervals'!$A$4:$A$33,0))&lt;&gt;"No",N(INDEX('Intervals'!$D$4:$D$33,MATCH($B518,'Intervals'!$A$4:$A$33,0)))&gt;0),EDATE($D518,N(INDEX('Intervals'!$D$4:$D$33,MATCH($B518,'Intervals'!$A$4:$A$33,0)))),""),""))</f>
        <v/>
      </c>
      <c r="H518" s="19">
        <f>IF($A518="","",IFERROR(IF(N(INDEX('Cars'!$H$4:$H$103,MATCH($A518,'Cars'!$A$4:$A$103,0)))&gt;0,INDEX('Cars'!$H$4:$H$103,MATCH($A518,'Cars'!$A$4:$A$103,0)),""),""))</f>
        <v/>
      </c>
      <c r="I518" s="19">
        <f>IF(OR($F518="",$H518=""),"",$F518-$H518)</f>
        <v/>
      </c>
      <c r="J518" s="21">
        <f>IF($G518="","",$G518-TODAY())</f>
        <v/>
      </c>
      <c r="K518" s="21">
        <f>IF($I518="","",IFERROR(IF(N(INDEX('Cars'!$J$4:$J$103,MATCH($A518,'Cars'!$A$4:$A$103,0)))&gt;0,ROUND($I518/INDEX('Cars'!$J$4:$J$103,MATCH($A518,'Cars'!$A$4:$A$103,0))*30,0),""),""))</f>
        <v/>
      </c>
      <c r="L518" s="21">
        <f>IF(AND($J518="",$K518=""),"",MIN(IF($J518="",99999,$J518),IF($K518="",99999,$K518)))</f>
        <v/>
      </c>
      <c r="M518" s="16">
        <f>IF(AND($I518="",$J518=""),"",IF(OR(AND($I518&lt;&gt;"",N($I518)&lt;0),AND($J518&lt;&gt;"",N($J518)&lt;0)),"Overdue",IF(OR(AND($I518&lt;&gt;"",N($I518)&lt;=IFERROR(INDEX('Intervals'!$E$4:$E$33,MATCH($B518,'Intervals'!$A$4:$A$33,0)),500)),AND($J518&lt;&gt;"",N($J518)&lt;=IFERROR(INDEX('Intervals'!$F$4:$F$33,MATCH($B518,'Intervals'!$A$4:$A$33,0)),14))),"Due soon","OK")))</f>
        <v/>
      </c>
      <c r="N518" s="15" t="n"/>
      <c r="O518" s="22">
        <f>IF(OR($M518="",$M518="OK"),"",$L518+ROW()/100000)</f>
        <v/>
      </c>
    </row>
    <row r="519">
      <c r="A519" s="15" t="n"/>
      <c r="B519" s="15" t="n"/>
      <c r="C519" s="16">
        <f>IF($B519="","",IFERROR(INDEX('Intervals'!$B$4:$B$33,MATCH($B519,'Intervals'!$A$4:$A$33,0)),""))</f>
        <v/>
      </c>
      <c r="D519" s="17" t="n"/>
      <c r="E519" s="18" t="n"/>
      <c r="F519" s="19">
        <f>IF(OR($B519="",$E519=""),"",IFERROR(IF(AND(INDEX('Intervals'!$G$4:$G$33,MATCH($B519,'Intervals'!$A$4:$A$33,0))&lt;&gt;"No",N(INDEX('Intervals'!$C$4:$C$33,MATCH($B519,'Intervals'!$A$4:$A$33,0)))&gt;0),$E519+N(INDEX('Intervals'!$C$4:$C$33,MATCH($B519,'Intervals'!$A$4:$A$33,0))),""),""))</f>
        <v/>
      </c>
      <c r="G519" s="20">
        <f>IF(OR($B519="",$D519=""),"",IFERROR(IF(AND(INDEX('Intervals'!$G$4:$G$33,MATCH($B519,'Intervals'!$A$4:$A$33,0))&lt;&gt;"No",N(INDEX('Intervals'!$D$4:$D$33,MATCH($B519,'Intervals'!$A$4:$A$33,0)))&gt;0),EDATE($D519,N(INDEX('Intervals'!$D$4:$D$33,MATCH($B519,'Intervals'!$A$4:$A$33,0)))),""),""))</f>
        <v/>
      </c>
      <c r="H519" s="19">
        <f>IF($A519="","",IFERROR(IF(N(INDEX('Cars'!$H$4:$H$103,MATCH($A519,'Cars'!$A$4:$A$103,0)))&gt;0,INDEX('Cars'!$H$4:$H$103,MATCH($A519,'Cars'!$A$4:$A$103,0)),""),""))</f>
        <v/>
      </c>
      <c r="I519" s="19">
        <f>IF(OR($F519="",$H519=""),"",$F519-$H519)</f>
        <v/>
      </c>
      <c r="J519" s="21">
        <f>IF($G519="","",$G519-TODAY())</f>
        <v/>
      </c>
      <c r="K519" s="21">
        <f>IF($I519="","",IFERROR(IF(N(INDEX('Cars'!$J$4:$J$103,MATCH($A519,'Cars'!$A$4:$A$103,0)))&gt;0,ROUND($I519/INDEX('Cars'!$J$4:$J$103,MATCH($A519,'Cars'!$A$4:$A$103,0))*30,0),""),""))</f>
        <v/>
      </c>
      <c r="L519" s="21">
        <f>IF(AND($J519="",$K519=""),"",MIN(IF($J519="",99999,$J519),IF($K519="",99999,$K519)))</f>
        <v/>
      </c>
      <c r="M519" s="16">
        <f>IF(AND($I519="",$J519=""),"",IF(OR(AND($I519&lt;&gt;"",N($I519)&lt;0),AND($J519&lt;&gt;"",N($J519)&lt;0)),"Overdue",IF(OR(AND($I519&lt;&gt;"",N($I519)&lt;=IFERROR(INDEX('Intervals'!$E$4:$E$33,MATCH($B519,'Intervals'!$A$4:$A$33,0)),500)),AND($J519&lt;&gt;"",N($J519)&lt;=IFERROR(INDEX('Intervals'!$F$4:$F$33,MATCH($B519,'Intervals'!$A$4:$A$33,0)),14))),"Due soon","OK")))</f>
        <v/>
      </c>
      <c r="N519" s="15" t="n"/>
      <c r="O519" s="22">
        <f>IF(OR($M519="",$M519="OK"),"",$L519+ROW()/100000)</f>
        <v/>
      </c>
    </row>
    <row r="520">
      <c r="A520" s="15" t="n"/>
      <c r="B520" s="15" t="n"/>
      <c r="C520" s="16">
        <f>IF($B520="","",IFERROR(INDEX('Intervals'!$B$4:$B$33,MATCH($B520,'Intervals'!$A$4:$A$33,0)),""))</f>
        <v/>
      </c>
      <c r="D520" s="17" t="n"/>
      <c r="E520" s="18" t="n"/>
      <c r="F520" s="19">
        <f>IF(OR($B520="",$E520=""),"",IFERROR(IF(AND(INDEX('Intervals'!$G$4:$G$33,MATCH($B520,'Intervals'!$A$4:$A$33,0))&lt;&gt;"No",N(INDEX('Intervals'!$C$4:$C$33,MATCH($B520,'Intervals'!$A$4:$A$33,0)))&gt;0),$E520+N(INDEX('Intervals'!$C$4:$C$33,MATCH($B520,'Intervals'!$A$4:$A$33,0))),""),""))</f>
        <v/>
      </c>
      <c r="G520" s="20">
        <f>IF(OR($B520="",$D520=""),"",IFERROR(IF(AND(INDEX('Intervals'!$G$4:$G$33,MATCH($B520,'Intervals'!$A$4:$A$33,0))&lt;&gt;"No",N(INDEX('Intervals'!$D$4:$D$33,MATCH($B520,'Intervals'!$A$4:$A$33,0)))&gt;0),EDATE($D520,N(INDEX('Intervals'!$D$4:$D$33,MATCH($B520,'Intervals'!$A$4:$A$33,0)))),""),""))</f>
        <v/>
      </c>
      <c r="H520" s="19">
        <f>IF($A520="","",IFERROR(IF(N(INDEX('Cars'!$H$4:$H$103,MATCH($A520,'Cars'!$A$4:$A$103,0)))&gt;0,INDEX('Cars'!$H$4:$H$103,MATCH($A520,'Cars'!$A$4:$A$103,0)),""),""))</f>
        <v/>
      </c>
      <c r="I520" s="19">
        <f>IF(OR($F520="",$H520=""),"",$F520-$H520)</f>
        <v/>
      </c>
      <c r="J520" s="21">
        <f>IF($G520="","",$G520-TODAY())</f>
        <v/>
      </c>
      <c r="K520" s="21">
        <f>IF($I520="","",IFERROR(IF(N(INDEX('Cars'!$J$4:$J$103,MATCH($A520,'Cars'!$A$4:$A$103,0)))&gt;0,ROUND($I520/INDEX('Cars'!$J$4:$J$103,MATCH($A520,'Cars'!$A$4:$A$103,0))*30,0),""),""))</f>
        <v/>
      </c>
      <c r="L520" s="21">
        <f>IF(AND($J520="",$K520=""),"",MIN(IF($J520="",99999,$J520),IF($K520="",99999,$K520)))</f>
        <v/>
      </c>
      <c r="M520" s="16">
        <f>IF(AND($I520="",$J520=""),"",IF(OR(AND($I520&lt;&gt;"",N($I520)&lt;0),AND($J520&lt;&gt;"",N($J520)&lt;0)),"Overdue",IF(OR(AND($I520&lt;&gt;"",N($I520)&lt;=IFERROR(INDEX('Intervals'!$E$4:$E$33,MATCH($B520,'Intervals'!$A$4:$A$33,0)),500)),AND($J520&lt;&gt;"",N($J520)&lt;=IFERROR(INDEX('Intervals'!$F$4:$F$33,MATCH($B520,'Intervals'!$A$4:$A$33,0)),14))),"Due soon","OK")))</f>
        <v/>
      </c>
      <c r="N520" s="15" t="n"/>
      <c r="O520" s="22">
        <f>IF(OR($M520="",$M520="OK"),"",$L520+ROW()/100000)</f>
        <v/>
      </c>
    </row>
    <row r="521">
      <c r="A521" s="15" t="n"/>
      <c r="B521" s="15" t="n"/>
      <c r="C521" s="16">
        <f>IF($B521="","",IFERROR(INDEX('Intervals'!$B$4:$B$33,MATCH($B521,'Intervals'!$A$4:$A$33,0)),""))</f>
        <v/>
      </c>
      <c r="D521" s="17" t="n"/>
      <c r="E521" s="18" t="n"/>
      <c r="F521" s="19">
        <f>IF(OR($B521="",$E521=""),"",IFERROR(IF(AND(INDEX('Intervals'!$G$4:$G$33,MATCH($B521,'Intervals'!$A$4:$A$33,0))&lt;&gt;"No",N(INDEX('Intervals'!$C$4:$C$33,MATCH($B521,'Intervals'!$A$4:$A$33,0)))&gt;0),$E521+N(INDEX('Intervals'!$C$4:$C$33,MATCH($B521,'Intervals'!$A$4:$A$33,0))),""),""))</f>
        <v/>
      </c>
      <c r="G521" s="20">
        <f>IF(OR($B521="",$D521=""),"",IFERROR(IF(AND(INDEX('Intervals'!$G$4:$G$33,MATCH($B521,'Intervals'!$A$4:$A$33,0))&lt;&gt;"No",N(INDEX('Intervals'!$D$4:$D$33,MATCH($B521,'Intervals'!$A$4:$A$33,0)))&gt;0),EDATE($D521,N(INDEX('Intervals'!$D$4:$D$33,MATCH($B521,'Intervals'!$A$4:$A$33,0)))),""),""))</f>
        <v/>
      </c>
      <c r="H521" s="19">
        <f>IF($A521="","",IFERROR(IF(N(INDEX('Cars'!$H$4:$H$103,MATCH($A521,'Cars'!$A$4:$A$103,0)))&gt;0,INDEX('Cars'!$H$4:$H$103,MATCH($A521,'Cars'!$A$4:$A$103,0)),""),""))</f>
        <v/>
      </c>
      <c r="I521" s="19">
        <f>IF(OR($F521="",$H521=""),"",$F521-$H521)</f>
        <v/>
      </c>
      <c r="J521" s="21">
        <f>IF($G521="","",$G521-TODAY())</f>
        <v/>
      </c>
      <c r="K521" s="21">
        <f>IF($I521="","",IFERROR(IF(N(INDEX('Cars'!$J$4:$J$103,MATCH($A521,'Cars'!$A$4:$A$103,0)))&gt;0,ROUND($I521/INDEX('Cars'!$J$4:$J$103,MATCH($A521,'Cars'!$A$4:$A$103,0))*30,0),""),""))</f>
        <v/>
      </c>
      <c r="L521" s="21">
        <f>IF(AND($J521="",$K521=""),"",MIN(IF($J521="",99999,$J521),IF($K521="",99999,$K521)))</f>
        <v/>
      </c>
      <c r="M521" s="16">
        <f>IF(AND($I521="",$J521=""),"",IF(OR(AND($I521&lt;&gt;"",N($I521)&lt;0),AND($J521&lt;&gt;"",N($J521)&lt;0)),"Overdue",IF(OR(AND($I521&lt;&gt;"",N($I521)&lt;=IFERROR(INDEX('Intervals'!$E$4:$E$33,MATCH($B521,'Intervals'!$A$4:$A$33,0)),500)),AND($J521&lt;&gt;"",N($J521)&lt;=IFERROR(INDEX('Intervals'!$F$4:$F$33,MATCH($B521,'Intervals'!$A$4:$A$33,0)),14))),"Due soon","OK")))</f>
        <v/>
      </c>
      <c r="N521" s="15" t="n"/>
      <c r="O521" s="22">
        <f>IF(OR($M521="",$M521="OK"),"",$L521+ROW()/100000)</f>
        <v/>
      </c>
    </row>
    <row r="522">
      <c r="A522" s="15" t="n"/>
      <c r="B522" s="15" t="n"/>
      <c r="C522" s="16">
        <f>IF($B522="","",IFERROR(INDEX('Intervals'!$B$4:$B$33,MATCH($B522,'Intervals'!$A$4:$A$33,0)),""))</f>
        <v/>
      </c>
      <c r="D522" s="17" t="n"/>
      <c r="E522" s="18" t="n"/>
      <c r="F522" s="19">
        <f>IF(OR($B522="",$E522=""),"",IFERROR(IF(AND(INDEX('Intervals'!$G$4:$G$33,MATCH($B522,'Intervals'!$A$4:$A$33,0))&lt;&gt;"No",N(INDEX('Intervals'!$C$4:$C$33,MATCH($B522,'Intervals'!$A$4:$A$33,0)))&gt;0),$E522+N(INDEX('Intervals'!$C$4:$C$33,MATCH($B522,'Intervals'!$A$4:$A$33,0))),""),""))</f>
        <v/>
      </c>
      <c r="G522" s="20">
        <f>IF(OR($B522="",$D522=""),"",IFERROR(IF(AND(INDEX('Intervals'!$G$4:$G$33,MATCH($B522,'Intervals'!$A$4:$A$33,0))&lt;&gt;"No",N(INDEX('Intervals'!$D$4:$D$33,MATCH($B522,'Intervals'!$A$4:$A$33,0)))&gt;0),EDATE($D522,N(INDEX('Intervals'!$D$4:$D$33,MATCH($B522,'Intervals'!$A$4:$A$33,0)))),""),""))</f>
        <v/>
      </c>
      <c r="H522" s="19">
        <f>IF($A522="","",IFERROR(IF(N(INDEX('Cars'!$H$4:$H$103,MATCH($A522,'Cars'!$A$4:$A$103,0)))&gt;0,INDEX('Cars'!$H$4:$H$103,MATCH($A522,'Cars'!$A$4:$A$103,0)),""),""))</f>
        <v/>
      </c>
      <c r="I522" s="19">
        <f>IF(OR($F522="",$H522=""),"",$F522-$H522)</f>
        <v/>
      </c>
      <c r="J522" s="21">
        <f>IF($G522="","",$G522-TODAY())</f>
        <v/>
      </c>
      <c r="K522" s="21">
        <f>IF($I522="","",IFERROR(IF(N(INDEX('Cars'!$J$4:$J$103,MATCH($A522,'Cars'!$A$4:$A$103,0)))&gt;0,ROUND($I522/INDEX('Cars'!$J$4:$J$103,MATCH($A522,'Cars'!$A$4:$A$103,0))*30,0),""),""))</f>
        <v/>
      </c>
      <c r="L522" s="21">
        <f>IF(AND($J522="",$K522=""),"",MIN(IF($J522="",99999,$J522),IF($K522="",99999,$K522)))</f>
        <v/>
      </c>
      <c r="M522" s="16">
        <f>IF(AND($I522="",$J522=""),"",IF(OR(AND($I522&lt;&gt;"",N($I522)&lt;0),AND($J522&lt;&gt;"",N($J522)&lt;0)),"Overdue",IF(OR(AND($I522&lt;&gt;"",N($I522)&lt;=IFERROR(INDEX('Intervals'!$E$4:$E$33,MATCH($B522,'Intervals'!$A$4:$A$33,0)),500)),AND($J522&lt;&gt;"",N($J522)&lt;=IFERROR(INDEX('Intervals'!$F$4:$F$33,MATCH($B522,'Intervals'!$A$4:$A$33,0)),14))),"Due soon","OK")))</f>
        <v/>
      </c>
      <c r="N522" s="15" t="n"/>
      <c r="O522" s="22">
        <f>IF(OR($M522="",$M522="OK"),"",$L522+ROW()/100000)</f>
        <v/>
      </c>
    </row>
    <row r="523">
      <c r="A523" s="15" t="n"/>
      <c r="B523" s="15" t="n"/>
      <c r="C523" s="16">
        <f>IF($B523="","",IFERROR(INDEX('Intervals'!$B$4:$B$33,MATCH($B523,'Intervals'!$A$4:$A$33,0)),""))</f>
        <v/>
      </c>
      <c r="D523" s="17" t="n"/>
      <c r="E523" s="18" t="n"/>
      <c r="F523" s="19">
        <f>IF(OR($B523="",$E523=""),"",IFERROR(IF(AND(INDEX('Intervals'!$G$4:$G$33,MATCH($B523,'Intervals'!$A$4:$A$33,0))&lt;&gt;"No",N(INDEX('Intervals'!$C$4:$C$33,MATCH($B523,'Intervals'!$A$4:$A$33,0)))&gt;0),$E523+N(INDEX('Intervals'!$C$4:$C$33,MATCH($B523,'Intervals'!$A$4:$A$33,0))),""),""))</f>
        <v/>
      </c>
      <c r="G523" s="20">
        <f>IF(OR($B523="",$D523=""),"",IFERROR(IF(AND(INDEX('Intervals'!$G$4:$G$33,MATCH($B523,'Intervals'!$A$4:$A$33,0))&lt;&gt;"No",N(INDEX('Intervals'!$D$4:$D$33,MATCH($B523,'Intervals'!$A$4:$A$33,0)))&gt;0),EDATE($D523,N(INDEX('Intervals'!$D$4:$D$33,MATCH($B523,'Intervals'!$A$4:$A$33,0)))),""),""))</f>
        <v/>
      </c>
      <c r="H523" s="19">
        <f>IF($A523="","",IFERROR(IF(N(INDEX('Cars'!$H$4:$H$103,MATCH($A523,'Cars'!$A$4:$A$103,0)))&gt;0,INDEX('Cars'!$H$4:$H$103,MATCH($A523,'Cars'!$A$4:$A$103,0)),""),""))</f>
        <v/>
      </c>
      <c r="I523" s="19">
        <f>IF(OR($F523="",$H523=""),"",$F523-$H523)</f>
        <v/>
      </c>
      <c r="J523" s="21">
        <f>IF($G523="","",$G523-TODAY())</f>
        <v/>
      </c>
      <c r="K523" s="21">
        <f>IF($I523="","",IFERROR(IF(N(INDEX('Cars'!$J$4:$J$103,MATCH($A523,'Cars'!$A$4:$A$103,0)))&gt;0,ROUND($I523/INDEX('Cars'!$J$4:$J$103,MATCH($A523,'Cars'!$A$4:$A$103,0))*30,0),""),""))</f>
        <v/>
      </c>
      <c r="L523" s="21">
        <f>IF(AND($J523="",$K523=""),"",MIN(IF($J523="",99999,$J523),IF($K523="",99999,$K523)))</f>
        <v/>
      </c>
      <c r="M523" s="16">
        <f>IF(AND($I523="",$J523=""),"",IF(OR(AND($I523&lt;&gt;"",N($I523)&lt;0),AND($J523&lt;&gt;"",N($J523)&lt;0)),"Overdue",IF(OR(AND($I523&lt;&gt;"",N($I523)&lt;=IFERROR(INDEX('Intervals'!$E$4:$E$33,MATCH($B523,'Intervals'!$A$4:$A$33,0)),500)),AND($J523&lt;&gt;"",N($J523)&lt;=IFERROR(INDEX('Intervals'!$F$4:$F$33,MATCH($B523,'Intervals'!$A$4:$A$33,0)),14))),"Due soon","OK")))</f>
        <v/>
      </c>
      <c r="N523" s="15" t="n"/>
      <c r="O523" s="22">
        <f>IF(OR($M523="",$M523="OK"),"",$L523+ROW()/100000)</f>
        <v/>
      </c>
    </row>
    <row r="524">
      <c r="A524" s="15" t="n"/>
      <c r="B524" s="15" t="n"/>
      <c r="C524" s="16">
        <f>IF($B524="","",IFERROR(INDEX('Intervals'!$B$4:$B$33,MATCH($B524,'Intervals'!$A$4:$A$33,0)),""))</f>
        <v/>
      </c>
      <c r="D524" s="17" t="n"/>
      <c r="E524" s="18" t="n"/>
      <c r="F524" s="19">
        <f>IF(OR($B524="",$E524=""),"",IFERROR(IF(AND(INDEX('Intervals'!$G$4:$G$33,MATCH($B524,'Intervals'!$A$4:$A$33,0))&lt;&gt;"No",N(INDEX('Intervals'!$C$4:$C$33,MATCH($B524,'Intervals'!$A$4:$A$33,0)))&gt;0),$E524+N(INDEX('Intervals'!$C$4:$C$33,MATCH($B524,'Intervals'!$A$4:$A$33,0))),""),""))</f>
        <v/>
      </c>
      <c r="G524" s="20">
        <f>IF(OR($B524="",$D524=""),"",IFERROR(IF(AND(INDEX('Intervals'!$G$4:$G$33,MATCH($B524,'Intervals'!$A$4:$A$33,0))&lt;&gt;"No",N(INDEX('Intervals'!$D$4:$D$33,MATCH($B524,'Intervals'!$A$4:$A$33,0)))&gt;0),EDATE($D524,N(INDEX('Intervals'!$D$4:$D$33,MATCH($B524,'Intervals'!$A$4:$A$33,0)))),""),""))</f>
        <v/>
      </c>
      <c r="H524" s="19">
        <f>IF($A524="","",IFERROR(IF(N(INDEX('Cars'!$H$4:$H$103,MATCH($A524,'Cars'!$A$4:$A$103,0)))&gt;0,INDEX('Cars'!$H$4:$H$103,MATCH($A524,'Cars'!$A$4:$A$103,0)),""),""))</f>
        <v/>
      </c>
      <c r="I524" s="19">
        <f>IF(OR($F524="",$H524=""),"",$F524-$H524)</f>
        <v/>
      </c>
      <c r="J524" s="21">
        <f>IF($G524="","",$G524-TODAY())</f>
        <v/>
      </c>
      <c r="K524" s="21">
        <f>IF($I524="","",IFERROR(IF(N(INDEX('Cars'!$J$4:$J$103,MATCH($A524,'Cars'!$A$4:$A$103,0)))&gt;0,ROUND($I524/INDEX('Cars'!$J$4:$J$103,MATCH($A524,'Cars'!$A$4:$A$103,0))*30,0),""),""))</f>
        <v/>
      </c>
      <c r="L524" s="21">
        <f>IF(AND($J524="",$K524=""),"",MIN(IF($J524="",99999,$J524),IF($K524="",99999,$K524)))</f>
        <v/>
      </c>
      <c r="M524" s="16">
        <f>IF(AND($I524="",$J524=""),"",IF(OR(AND($I524&lt;&gt;"",N($I524)&lt;0),AND($J524&lt;&gt;"",N($J524)&lt;0)),"Overdue",IF(OR(AND($I524&lt;&gt;"",N($I524)&lt;=IFERROR(INDEX('Intervals'!$E$4:$E$33,MATCH($B524,'Intervals'!$A$4:$A$33,0)),500)),AND($J524&lt;&gt;"",N($J524)&lt;=IFERROR(INDEX('Intervals'!$F$4:$F$33,MATCH($B524,'Intervals'!$A$4:$A$33,0)),14))),"Due soon","OK")))</f>
        <v/>
      </c>
      <c r="N524" s="15" t="n"/>
      <c r="O524" s="22">
        <f>IF(OR($M524="",$M524="OK"),"",$L524+ROW()/100000)</f>
        <v/>
      </c>
    </row>
    <row r="525">
      <c r="A525" s="15" t="n"/>
      <c r="B525" s="15" t="n"/>
      <c r="C525" s="16">
        <f>IF($B525="","",IFERROR(INDEX('Intervals'!$B$4:$B$33,MATCH($B525,'Intervals'!$A$4:$A$33,0)),""))</f>
        <v/>
      </c>
      <c r="D525" s="17" t="n"/>
      <c r="E525" s="18" t="n"/>
      <c r="F525" s="19">
        <f>IF(OR($B525="",$E525=""),"",IFERROR(IF(AND(INDEX('Intervals'!$G$4:$G$33,MATCH($B525,'Intervals'!$A$4:$A$33,0))&lt;&gt;"No",N(INDEX('Intervals'!$C$4:$C$33,MATCH($B525,'Intervals'!$A$4:$A$33,0)))&gt;0),$E525+N(INDEX('Intervals'!$C$4:$C$33,MATCH($B525,'Intervals'!$A$4:$A$33,0))),""),""))</f>
        <v/>
      </c>
      <c r="G525" s="20">
        <f>IF(OR($B525="",$D525=""),"",IFERROR(IF(AND(INDEX('Intervals'!$G$4:$G$33,MATCH($B525,'Intervals'!$A$4:$A$33,0))&lt;&gt;"No",N(INDEX('Intervals'!$D$4:$D$33,MATCH($B525,'Intervals'!$A$4:$A$33,0)))&gt;0),EDATE($D525,N(INDEX('Intervals'!$D$4:$D$33,MATCH($B525,'Intervals'!$A$4:$A$33,0)))),""),""))</f>
        <v/>
      </c>
      <c r="H525" s="19">
        <f>IF($A525="","",IFERROR(IF(N(INDEX('Cars'!$H$4:$H$103,MATCH($A525,'Cars'!$A$4:$A$103,0)))&gt;0,INDEX('Cars'!$H$4:$H$103,MATCH($A525,'Cars'!$A$4:$A$103,0)),""),""))</f>
        <v/>
      </c>
      <c r="I525" s="19">
        <f>IF(OR($F525="",$H525=""),"",$F525-$H525)</f>
        <v/>
      </c>
      <c r="J525" s="21">
        <f>IF($G525="","",$G525-TODAY())</f>
        <v/>
      </c>
      <c r="K525" s="21">
        <f>IF($I525="","",IFERROR(IF(N(INDEX('Cars'!$J$4:$J$103,MATCH($A525,'Cars'!$A$4:$A$103,0)))&gt;0,ROUND($I525/INDEX('Cars'!$J$4:$J$103,MATCH($A525,'Cars'!$A$4:$A$103,0))*30,0),""),""))</f>
        <v/>
      </c>
      <c r="L525" s="21">
        <f>IF(AND($J525="",$K525=""),"",MIN(IF($J525="",99999,$J525),IF($K525="",99999,$K525)))</f>
        <v/>
      </c>
      <c r="M525" s="16">
        <f>IF(AND($I525="",$J525=""),"",IF(OR(AND($I525&lt;&gt;"",N($I525)&lt;0),AND($J525&lt;&gt;"",N($J525)&lt;0)),"Overdue",IF(OR(AND($I525&lt;&gt;"",N($I525)&lt;=IFERROR(INDEX('Intervals'!$E$4:$E$33,MATCH($B525,'Intervals'!$A$4:$A$33,0)),500)),AND($J525&lt;&gt;"",N($J525)&lt;=IFERROR(INDEX('Intervals'!$F$4:$F$33,MATCH($B525,'Intervals'!$A$4:$A$33,0)),14))),"Due soon","OK")))</f>
        <v/>
      </c>
      <c r="N525" s="15" t="n"/>
      <c r="O525" s="22">
        <f>IF(OR($M525="",$M525="OK"),"",$L525+ROW()/100000)</f>
        <v/>
      </c>
    </row>
    <row r="526">
      <c r="A526" s="15" t="n"/>
      <c r="B526" s="15" t="n"/>
      <c r="C526" s="16">
        <f>IF($B526="","",IFERROR(INDEX('Intervals'!$B$4:$B$33,MATCH($B526,'Intervals'!$A$4:$A$33,0)),""))</f>
        <v/>
      </c>
      <c r="D526" s="17" t="n"/>
      <c r="E526" s="18" t="n"/>
      <c r="F526" s="19">
        <f>IF(OR($B526="",$E526=""),"",IFERROR(IF(AND(INDEX('Intervals'!$G$4:$G$33,MATCH($B526,'Intervals'!$A$4:$A$33,0))&lt;&gt;"No",N(INDEX('Intervals'!$C$4:$C$33,MATCH($B526,'Intervals'!$A$4:$A$33,0)))&gt;0),$E526+N(INDEX('Intervals'!$C$4:$C$33,MATCH($B526,'Intervals'!$A$4:$A$33,0))),""),""))</f>
        <v/>
      </c>
      <c r="G526" s="20">
        <f>IF(OR($B526="",$D526=""),"",IFERROR(IF(AND(INDEX('Intervals'!$G$4:$G$33,MATCH($B526,'Intervals'!$A$4:$A$33,0))&lt;&gt;"No",N(INDEX('Intervals'!$D$4:$D$33,MATCH($B526,'Intervals'!$A$4:$A$33,0)))&gt;0),EDATE($D526,N(INDEX('Intervals'!$D$4:$D$33,MATCH($B526,'Intervals'!$A$4:$A$33,0)))),""),""))</f>
        <v/>
      </c>
      <c r="H526" s="19">
        <f>IF($A526="","",IFERROR(IF(N(INDEX('Cars'!$H$4:$H$103,MATCH($A526,'Cars'!$A$4:$A$103,0)))&gt;0,INDEX('Cars'!$H$4:$H$103,MATCH($A526,'Cars'!$A$4:$A$103,0)),""),""))</f>
        <v/>
      </c>
      <c r="I526" s="19">
        <f>IF(OR($F526="",$H526=""),"",$F526-$H526)</f>
        <v/>
      </c>
      <c r="J526" s="21">
        <f>IF($G526="","",$G526-TODAY())</f>
        <v/>
      </c>
      <c r="K526" s="21">
        <f>IF($I526="","",IFERROR(IF(N(INDEX('Cars'!$J$4:$J$103,MATCH($A526,'Cars'!$A$4:$A$103,0)))&gt;0,ROUND($I526/INDEX('Cars'!$J$4:$J$103,MATCH($A526,'Cars'!$A$4:$A$103,0))*30,0),""),""))</f>
        <v/>
      </c>
      <c r="L526" s="21">
        <f>IF(AND($J526="",$K526=""),"",MIN(IF($J526="",99999,$J526),IF($K526="",99999,$K526)))</f>
        <v/>
      </c>
      <c r="M526" s="16">
        <f>IF(AND($I526="",$J526=""),"",IF(OR(AND($I526&lt;&gt;"",N($I526)&lt;0),AND($J526&lt;&gt;"",N($J526)&lt;0)),"Overdue",IF(OR(AND($I526&lt;&gt;"",N($I526)&lt;=IFERROR(INDEX('Intervals'!$E$4:$E$33,MATCH($B526,'Intervals'!$A$4:$A$33,0)),500)),AND($J526&lt;&gt;"",N($J526)&lt;=IFERROR(INDEX('Intervals'!$F$4:$F$33,MATCH($B526,'Intervals'!$A$4:$A$33,0)),14))),"Due soon","OK")))</f>
        <v/>
      </c>
      <c r="N526" s="15" t="n"/>
      <c r="O526" s="22">
        <f>IF(OR($M526="",$M526="OK"),"",$L526+ROW()/100000)</f>
        <v/>
      </c>
    </row>
    <row r="527">
      <c r="A527" s="15" t="n"/>
      <c r="B527" s="15" t="n"/>
      <c r="C527" s="16">
        <f>IF($B527="","",IFERROR(INDEX('Intervals'!$B$4:$B$33,MATCH($B527,'Intervals'!$A$4:$A$33,0)),""))</f>
        <v/>
      </c>
      <c r="D527" s="17" t="n"/>
      <c r="E527" s="18" t="n"/>
      <c r="F527" s="19">
        <f>IF(OR($B527="",$E527=""),"",IFERROR(IF(AND(INDEX('Intervals'!$G$4:$G$33,MATCH($B527,'Intervals'!$A$4:$A$33,0))&lt;&gt;"No",N(INDEX('Intervals'!$C$4:$C$33,MATCH($B527,'Intervals'!$A$4:$A$33,0)))&gt;0),$E527+N(INDEX('Intervals'!$C$4:$C$33,MATCH($B527,'Intervals'!$A$4:$A$33,0))),""),""))</f>
        <v/>
      </c>
      <c r="G527" s="20">
        <f>IF(OR($B527="",$D527=""),"",IFERROR(IF(AND(INDEX('Intervals'!$G$4:$G$33,MATCH($B527,'Intervals'!$A$4:$A$33,0))&lt;&gt;"No",N(INDEX('Intervals'!$D$4:$D$33,MATCH($B527,'Intervals'!$A$4:$A$33,0)))&gt;0),EDATE($D527,N(INDEX('Intervals'!$D$4:$D$33,MATCH($B527,'Intervals'!$A$4:$A$33,0)))),""),""))</f>
        <v/>
      </c>
      <c r="H527" s="19">
        <f>IF($A527="","",IFERROR(IF(N(INDEX('Cars'!$H$4:$H$103,MATCH($A527,'Cars'!$A$4:$A$103,0)))&gt;0,INDEX('Cars'!$H$4:$H$103,MATCH($A527,'Cars'!$A$4:$A$103,0)),""),""))</f>
        <v/>
      </c>
      <c r="I527" s="19">
        <f>IF(OR($F527="",$H527=""),"",$F527-$H527)</f>
        <v/>
      </c>
      <c r="J527" s="21">
        <f>IF($G527="","",$G527-TODAY())</f>
        <v/>
      </c>
      <c r="K527" s="21">
        <f>IF($I527="","",IFERROR(IF(N(INDEX('Cars'!$J$4:$J$103,MATCH($A527,'Cars'!$A$4:$A$103,0)))&gt;0,ROUND($I527/INDEX('Cars'!$J$4:$J$103,MATCH($A527,'Cars'!$A$4:$A$103,0))*30,0),""),""))</f>
        <v/>
      </c>
      <c r="L527" s="21">
        <f>IF(AND($J527="",$K527=""),"",MIN(IF($J527="",99999,$J527),IF($K527="",99999,$K527)))</f>
        <v/>
      </c>
      <c r="M527" s="16">
        <f>IF(AND($I527="",$J527=""),"",IF(OR(AND($I527&lt;&gt;"",N($I527)&lt;0),AND($J527&lt;&gt;"",N($J527)&lt;0)),"Overdue",IF(OR(AND($I527&lt;&gt;"",N($I527)&lt;=IFERROR(INDEX('Intervals'!$E$4:$E$33,MATCH($B527,'Intervals'!$A$4:$A$33,0)),500)),AND($J527&lt;&gt;"",N($J527)&lt;=IFERROR(INDEX('Intervals'!$F$4:$F$33,MATCH($B527,'Intervals'!$A$4:$A$33,0)),14))),"Due soon","OK")))</f>
        <v/>
      </c>
      <c r="N527" s="15" t="n"/>
      <c r="O527" s="22">
        <f>IF(OR($M527="",$M527="OK"),"",$L527+ROW()/100000)</f>
        <v/>
      </c>
    </row>
    <row r="528">
      <c r="A528" s="15" t="n"/>
      <c r="B528" s="15" t="n"/>
      <c r="C528" s="16">
        <f>IF($B528="","",IFERROR(INDEX('Intervals'!$B$4:$B$33,MATCH($B528,'Intervals'!$A$4:$A$33,0)),""))</f>
        <v/>
      </c>
      <c r="D528" s="17" t="n"/>
      <c r="E528" s="18" t="n"/>
      <c r="F528" s="19">
        <f>IF(OR($B528="",$E528=""),"",IFERROR(IF(AND(INDEX('Intervals'!$G$4:$G$33,MATCH($B528,'Intervals'!$A$4:$A$33,0))&lt;&gt;"No",N(INDEX('Intervals'!$C$4:$C$33,MATCH($B528,'Intervals'!$A$4:$A$33,0)))&gt;0),$E528+N(INDEX('Intervals'!$C$4:$C$33,MATCH($B528,'Intervals'!$A$4:$A$33,0))),""),""))</f>
        <v/>
      </c>
      <c r="G528" s="20">
        <f>IF(OR($B528="",$D528=""),"",IFERROR(IF(AND(INDEX('Intervals'!$G$4:$G$33,MATCH($B528,'Intervals'!$A$4:$A$33,0))&lt;&gt;"No",N(INDEX('Intervals'!$D$4:$D$33,MATCH($B528,'Intervals'!$A$4:$A$33,0)))&gt;0),EDATE($D528,N(INDEX('Intervals'!$D$4:$D$33,MATCH($B528,'Intervals'!$A$4:$A$33,0)))),""),""))</f>
        <v/>
      </c>
      <c r="H528" s="19">
        <f>IF($A528="","",IFERROR(IF(N(INDEX('Cars'!$H$4:$H$103,MATCH($A528,'Cars'!$A$4:$A$103,0)))&gt;0,INDEX('Cars'!$H$4:$H$103,MATCH($A528,'Cars'!$A$4:$A$103,0)),""),""))</f>
        <v/>
      </c>
      <c r="I528" s="19">
        <f>IF(OR($F528="",$H528=""),"",$F528-$H528)</f>
        <v/>
      </c>
      <c r="J528" s="21">
        <f>IF($G528="","",$G528-TODAY())</f>
        <v/>
      </c>
      <c r="K528" s="21">
        <f>IF($I528="","",IFERROR(IF(N(INDEX('Cars'!$J$4:$J$103,MATCH($A528,'Cars'!$A$4:$A$103,0)))&gt;0,ROUND($I528/INDEX('Cars'!$J$4:$J$103,MATCH($A528,'Cars'!$A$4:$A$103,0))*30,0),""),""))</f>
        <v/>
      </c>
      <c r="L528" s="21">
        <f>IF(AND($J528="",$K528=""),"",MIN(IF($J528="",99999,$J528),IF($K528="",99999,$K528)))</f>
        <v/>
      </c>
      <c r="M528" s="16">
        <f>IF(AND($I528="",$J528=""),"",IF(OR(AND($I528&lt;&gt;"",N($I528)&lt;0),AND($J528&lt;&gt;"",N($J528)&lt;0)),"Overdue",IF(OR(AND($I528&lt;&gt;"",N($I528)&lt;=IFERROR(INDEX('Intervals'!$E$4:$E$33,MATCH($B528,'Intervals'!$A$4:$A$33,0)),500)),AND($J528&lt;&gt;"",N($J528)&lt;=IFERROR(INDEX('Intervals'!$F$4:$F$33,MATCH($B528,'Intervals'!$A$4:$A$33,0)),14))),"Due soon","OK")))</f>
        <v/>
      </c>
      <c r="N528" s="15" t="n"/>
      <c r="O528" s="22">
        <f>IF(OR($M528="",$M528="OK"),"",$L528+ROW()/100000)</f>
        <v/>
      </c>
    </row>
    <row r="529">
      <c r="A529" s="15" t="n"/>
      <c r="B529" s="15" t="n"/>
      <c r="C529" s="16">
        <f>IF($B529="","",IFERROR(INDEX('Intervals'!$B$4:$B$33,MATCH($B529,'Intervals'!$A$4:$A$33,0)),""))</f>
        <v/>
      </c>
      <c r="D529" s="17" t="n"/>
      <c r="E529" s="18" t="n"/>
      <c r="F529" s="19">
        <f>IF(OR($B529="",$E529=""),"",IFERROR(IF(AND(INDEX('Intervals'!$G$4:$G$33,MATCH($B529,'Intervals'!$A$4:$A$33,0))&lt;&gt;"No",N(INDEX('Intervals'!$C$4:$C$33,MATCH($B529,'Intervals'!$A$4:$A$33,0)))&gt;0),$E529+N(INDEX('Intervals'!$C$4:$C$33,MATCH($B529,'Intervals'!$A$4:$A$33,0))),""),""))</f>
        <v/>
      </c>
      <c r="G529" s="20">
        <f>IF(OR($B529="",$D529=""),"",IFERROR(IF(AND(INDEX('Intervals'!$G$4:$G$33,MATCH($B529,'Intervals'!$A$4:$A$33,0))&lt;&gt;"No",N(INDEX('Intervals'!$D$4:$D$33,MATCH($B529,'Intervals'!$A$4:$A$33,0)))&gt;0),EDATE($D529,N(INDEX('Intervals'!$D$4:$D$33,MATCH($B529,'Intervals'!$A$4:$A$33,0)))),""),""))</f>
        <v/>
      </c>
      <c r="H529" s="19">
        <f>IF($A529="","",IFERROR(IF(N(INDEX('Cars'!$H$4:$H$103,MATCH($A529,'Cars'!$A$4:$A$103,0)))&gt;0,INDEX('Cars'!$H$4:$H$103,MATCH($A529,'Cars'!$A$4:$A$103,0)),""),""))</f>
        <v/>
      </c>
      <c r="I529" s="19">
        <f>IF(OR($F529="",$H529=""),"",$F529-$H529)</f>
        <v/>
      </c>
      <c r="J529" s="21">
        <f>IF($G529="","",$G529-TODAY())</f>
        <v/>
      </c>
      <c r="K529" s="21">
        <f>IF($I529="","",IFERROR(IF(N(INDEX('Cars'!$J$4:$J$103,MATCH($A529,'Cars'!$A$4:$A$103,0)))&gt;0,ROUND($I529/INDEX('Cars'!$J$4:$J$103,MATCH($A529,'Cars'!$A$4:$A$103,0))*30,0),""),""))</f>
        <v/>
      </c>
      <c r="L529" s="21">
        <f>IF(AND($J529="",$K529=""),"",MIN(IF($J529="",99999,$J529),IF($K529="",99999,$K529)))</f>
        <v/>
      </c>
      <c r="M529" s="16">
        <f>IF(AND($I529="",$J529=""),"",IF(OR(AND($I529&lt;&gt;"",N($I529)&lt;0),AND($J529&lt;&gt;"",N($J529)&lt;0)),"Overdue",IF(OR(AND($I529&lt;&gt;"",N($I529)&lt;=IFERROR(INDEX('Intervals'!$E$4:$E$33,MATCH($B529,'Intervals'!$A$4:$A$33,0)),500)),AND($J529&lt;&gt;"",N($J529)&lt;=IFERROR(INDEX('Intervals'!$F$4:$F$33,MATCH($B529,'Intervals'!$A$4:$A$33,0)),14))),"Due soon","OK")))</f>
        <v/>
      </c>
      <c r="N529" s="15" t="n"/>
      <c r="O529" s="22">
        <f>IF(OR($M529="",$M529="OK"),"",$L529+ROW()/100000)</f>
        <v/>
      </c>
    </row>
    <row r="530">
      <c r="A530" s="15" t="n"/>
      <c r="B530" s="15" t="n"/>
      <c r="C530" s="16">
        <f>IF($B530="","",IFERROR(INDEX('Intervals'!$B$4:$B$33,MATCH($B530,'Intervals'!$A$4:$A$33,0)),""))</f>
        <v/>
      </c>
      <c r="D530" s="17" t="n"/>
      <c r="E530" s="18" t="n"/>
      <c r="F530" s="19">
        <f>IF(OR($B530="",$E530=""),"",IFERROR(IF(AND(INDEX('Intervals'!$G$4:$G$33,MATCH($B530,'Intervals'!$A$4:$A$33,0))&lt;&gt;"No",N(INDEX('Intervals'!$C$4:$C$33,MATCH($B530,'Intervals'!$A$4:$A$33,0)))&gt;0),$E530+N(INDEX('Intervals'!$C$4:$C$33,MATCH($B530,'Intervals'!$A$4:$A$33,0))),""),""))</f>
        <v/>
      </c>
      <c r="G530" s="20">
        <f>IF(OR($B530="",$D530=""),"",IFERROR(IF(AND(INDEX('Intervals'!$G$4:$G$33,MATCH($B530,'Intervals'!$A$4:$A$33,0))&lt;&gt;"No",N(INDEX('Intervals'!$D$4:$D$33,MATCH($B530,'Intervals'!$A$4:$A$33,0)))&gt;0),EDATE($D530,N(INDEX('Intervals'!$D$4:$D$33,MATCH($B530,'Intervals'!$A$4:$A$33,0)))),""),""))</f>
        <v/>
      </c>
      <c r="H530" s="19">
        <f>IF($A530="","",IFERROR(IF(N(INDEX('Cars'!$H$4:$H$103,MATCH($A530,'Cars'!$A$4:$A$103,0)))&gt;0,INDEX('Cars'!$H$4:$H$103,MATCH($A530,'Cars'!$A$4:$A$103,0)),""),""))</f>
        <v/>
      </c>
      <c r="I530" s="19">
        <f>IF(OR($F530="",$H530=""),"",$F530-$H530)</f>
        <v/>
      </c>
      <c r="J530" s="21">
        <f>IF($G530="","",$G530-TODAY())</f>
        <v/>
      </c>
      <c r="K530" s="21">
        <f>IF($I530="","",IFERROR(IF(N(INDEX('Cars'!$J$4:$J$103,MATCH($A530,'Cars'!$A$4:$A$103,0)))&gt;0,ROUND($I530/INDEX('Cars'!$J$4:$J$103,MATCH($A530,'Cars'!$A$4:$A$103,0))*30,0),""),""))</f>
        <v/>
      </c>
      <c r="L530" s="21">
        <f>IF(AND($J530="",$K530=""),"",MIN(IF($J530="",99999,$J530),IF($K530="",99999,$K530)))</f>
        <v/>
      </c>
      <c r="M530" s="16">
        <f>IF(AND($I530="",$J530=""),"",IF(OR(AND($I530&lt;&gt;"",N($I530)&lt;0),AND($J530&lt;&gt;"",N($J530)&lt;0)),"Overdue",IF(OR(AND($I530&lt;&gt;"",N($I530)&lt;=IFERROR(INDEX('Intervals'!$E$4:$E$33,MATCH($B530,'Intervals'!$A$4:$A$33,0)),500)),AND($J530&lt;&gt;"",N($J530)&lt;=IFERROR(INDEX('Intervals'!$F$4:$F$33,MATCH($B530,'Intervals'!$A$4:$A$33,0)),14))),"Due soon","OK")))</f>
        <v/>
      </c>
      <c r="N530" s="15" t="n"/>
      <c r="O530" s="22">
        <f>IF(OR($M530="",$M530="OK"),"",$L530+ROW()/100000)</f>
        <v/>
      </c>
    </row>
    <row r="531">
      <c r="A531" s="15" t="n"/>
      <c r="B531" s="15" t="n"/>
      <c r="C531" s="16">
        <f>IF($B531="","",IFERROR(INDEX('Intervals'!$B$4:$B$33,MATCH($B531,'Intervals'!$A$4:$A$33,0)),""))</f>
        <v/>
      </c>
      <c r="D531" s="17" t="n"/>
      <c r="E531" s="18" t="n"/>
      <c r="F531" s="19">
        <f>IF(OR($B531="",$E531=""),"",IFERROR(IF(AND(INDEX('Intervals'!$G$4:$G$33,MATCH($B531,'Intervals'!$A$4:$A$33,0))&lt;&gt;"No",N(INDEX('Intervals'!$C$4:$C$33,MATCH($B531,'Intervals'!$A$4:$A$33,0)))&gt;0),$E531+N(INDEX('Intervals'!$C$4:$C$33,MATCH($B531,'Intervals'!$A$4:$A$33,0))),""),""))</f>
        <v/>
      </c>
      <c r="G531" s="20">
        <f>IF(OR($B531="",$D531=""),"",IFERROR(IF(AND(INDEX('Intervals'!$G$4:$G$33,MATCH($B531,'Intervals'!$A$4:$A$33,0))&lt;&gt;"No",N(INDEX('Intervals'!$D$4:$D$33,MATCH($B531,'Intervals'!$A$4:$A$33,0)))&gt;0),EDATE($D531,N(INDEX('Intervals'!$D$4:$D$33,MATCH($B531,'Intervals'!$A$4:$A$33,0)))),""),""))</f>
        <v/>
      </c>
      <c r="H531" s="19">
        <f>IF($A531="","",IFERROR(IF(N(INDEX('Cars'!$H$4:$H$103,MATCH($A531,'Cars'!$A$4:$A$103,0)))&gt;0,INDEX('Cars'!$H$4:$H$103,MATCH($A531,'Cars'!$A$4:$A$103,0)),""),""))</f>
        <v/>
      </c>
      <c r="I531" s="19">
        <f>IF(OR($F531="",$H531=""),"",$F531-$H531)</f>
        <v/>
      </c>
      <c r="J531" s="21">
        <f>IF($G531="","",$G531-TODAY())</f>
        <v/>
      </c>
      <c r="K531" s="21">
        <f>IF($I531="","",IFERROR(IF(N(INDEX('Cars'!$J$4:$J$103,MATCH($A531,'Cars'!$A$4:$A$103,0)))&gt;0,ROUND($I531/INDEX('Cars'!$J$4:$J$103,MATCH($A531,'Cars'!$A$4:$A$103,0))*30,0),""),""))</f>
        <v/>
      </c>
      <c r="L531" s="21">
        <f>IF(AND($J531="",$K531=""),"",MIN(IF($J531="",99999,$J531),IF($K531="",99999,$K531)))</f>
        <v/>
      </c>
      <c r="M531" s="16">
        <f>IF(AND($I531="",$J531=""),"",IF(OR(AND($I531&lt;&gt;"",N($I531)&lt;0),AND($J531&lt;&gt;"",N($J531)&lt;0)),"Overdue",IF(OR(AND($I531&lt;&gt;"",N($I531)&lt;=IFERROR(INDEX('Intervals'!$E$4:$E$33,MATCH($B531,'Intervals'!$A$4:$A$33,0)),500)),AND($J531&lt;&gt;"",N($J531)&lt;=IFERROR(INDEX('Intervals'!$F$4:$F$33,MATCH($B531,'Intervals'!$A$4:$A$33,0)),14))),"Due soon","OK")))</f>
        <v/>
      </c>
      <c r="N531" s="15" t="n"/>
      <c r="O531" s="22">
        <f>IF(OR($M531="",$M531="OK"),"",$L531+ROW()/100000)</f>
        <v/>
      </c>
    </row>
    <row r="532">
      <c r="A532" s="15" t="n"/>
      <c r="B532" s="15" t="n"/>
      <c r="C532" s="16">
        <f>IF($B532="","",IFERROR(INDEX('Intervals'!$B$4:$B$33,MATCH($B532,'Intervals'!$A$4:$A$33,0)),""))</f>
        <v/>
      </c>
      <c r="D532" s="17" t="n"/>
      <c r="E532" s="18" t="n"/>
      <c r="F532" s="19">
        <f>IF(OR($B532="",$E532=""),"",IFERROR(IF(AND(INDEX('Intervals'!$G$4:$G$33,MATCH($B532,'Intervals'!$A$4:$A$33,0))&lt;&gt;"No",N(INDEX('Intervals'!$C$4:$C$33,MATCH($B532,'Intervals'!$A$4:$A$33,0)))&gt;0),$E532+N(INDEX('Intervals'!$C$4:$C$33,MATCH($B532,'Intervals'!$A$4:$A$33,0))),""),""))</f>
        <v/>
      </c>
      <c r="G532" s="20">
        <f>IF(OR($B532="",$D532=""),"",IFERROR(IF(AND(INDEX('Intervals'!$G$4:$G$33,MATCH($B532,'Intervals'!$A$4:$A$33,0))&lt;&gt;"No",N(INDEX('Intervals'!$D$4:$D$33,MATCH($B532,'Intervals'!$A$4:$A$33,0)))&gt;0),EDATE($D532,N(INDEX('Intervals'!$D$4:$D$33,MATCH($B532,'Intervals'!$A$4:$A$33,0)))),""),""))</f>
        <v/>
      </c>
      <c r="H532" s="19">
        <f>IF($A532="","",IFERROR(IF(N(INDEX('Cars'!$H$4:$H$103,MATCH($A532,'Cars'!$A$4:$A$103,0)))&gt;0,INDEX('Cars'!$H$4:$H$103,MATCH($A532,'Cars'!$A$4:$A$103,0)),""),""))</f>
        <v/>
      </c>
      <c r="I532" s="19">
        <f>IF(OR($F532="",$H532=""),"",$F532-$H532)</f>
        <v/>
      </c>
      <c r="J532" s="21">
        <f>IF($G532="","",$G532-TODAY())</f>
        <v/>
      </c>
      <c r="K532" s="21">
        <f>IF($I532="","",IFERROR(IF(N(INDEX('Cars'!$J$4:$J$103,MATCH($A532,'Cars'!$A$4:$A$103,0)))&gt;0,ROUND($I532/INDEX('Cars'!$J$4:$J$103,MATCH($A532,'Cars'!$A$4:$A$103,0))*30,0),""),""))</f>
        <v/>
      </c>
      <c r="L532" s="21">
        <f>IF(AND($J532="",$K532=""),"",MIN(IF($J532="",99999,$J532),IF($K532="",99999,$K532)))</f>
        <v/>
      </c>
      <c r="M532" s="16">
        <f>IF(AND($I532="",$J532=""),"",IF(OR(AND($I532&lt;&gt;"",N($I532)&lt;0),AND($J532&lt;&gt;"",N($J532)&lt;0)),"Overdue",IF(OR(AND($I532&lt;&gt;"",N($I532)&lt;=IFERROR(INDEX('Intervals'!$E$4:$E$33,MATCH($B532,'Intervals'!$A$4:$A$33,0)),500)),AND($J532&lt;&gt;"",N($J532)&lt;=IFERROR(INDEX('Intervals'!$F$4:$F$33,MATCH($B532,'Intervals'!$A$4:$A$33,0)),14))),"Due soon","OK")))</f>
        <v/>
      </c>
      <c r="N532" s="15" t="n"/>
      <c r="O532" s="22">
        <f>IF(OR($M532="",$M532="OK"),"",$L532+ROW()/100000)</f>
        <v/>
      </c>
    </row>
    <row r="533">
      <c r="A533" s="15" t="n"/>
      <c r="B533" s="15" t="n"/>
      <c r="C533" s="16">
        <f>IF($B533="","",IFERROR(INDEX('Intervals'!$B$4:$B$33,MATCH($B533,'Intervals'!$A$4:$A$33,0)),""))</f>
        <v/>
      </c>
      <c r="D533" s="17" t="n"/>
      <c r="E533" s="18" t="n"/>
      <c r="F533" s="19">
        <f>IF(OR($B533="",$E533=""),"",IFERROR(IF(AND(INDEX('Intervals'!$G$4:$G$33,MATCH($B533,'Intervals'!$A$4:$A$33,0))&lt;&gt;"No",N(INDEX('Intervals'!$C$4:$C$33,MATCH($B533,'Intervals'!$A$4:$A$33,0)))&gt;0),$E533+N(INDEX('Intervals'!$C$4:$C$33,MATCH($B533,'Intervals'!$A$4:$A$33,0))),""),""))</f>
        <v/>
      </c>
      <c r="G533" s="20">
        <f>IF(OR($B533="",$D533=""),"",IFERROR(IF(AND(INDEX('Intervals'!$G$4:$G$33,MATCH($B533,'Intervals'!$A$4:$A$33,0))&lt;&gt;"No",N(INDEX('Intervals'!$D$4:$D$33,MATCH($B533,'Intervals'!$A$4:$A$33,0)))&gt;0),EDATE($D533,N(INDEX('Intervals'!$D$4:$D$33,MATCH($B533,'Intervals'!$A$4:$A$33,0)))),""),""))</f>
        <v/>
      </c>
      <c r="H533" s="19">
        <f>IF($A533="","",IFERROR(IF(N(INDEX('Cars'!$H$4:$H$103,MATCH($A533,'Cars'!$A$4:$A$103,0)))&gt;0,INDEX('Cars'!$H$4:$H$103,MATCH($A533,'Cars'!$A$4:$A$103,0)),""),""))</f>
        <v/>
      </c>
      <c r="I533" s="19">
        <f>IF(OR($F533="",$H533=""),"",$F533-$H533)</f>
        <v/>
      </c>
      <c r="J533" s="21">
        <f>IF($G533="","",$G533-TODAY())</f>
        <v/>
      </c>
      <c r="K533" s="21">
        <f>IF($I533="","",IFERROR(IF(N(INDEX('Cars'!$J$4:$J$103,MATCH($A533,'Cars'!$A$4:$A$103,0)))&gt;0,ROUND($I533/INDEX('Cars'!$J$4:$J$103,MATCH($A533,'Cars'!$A$4:$A$103,0))*30,0),""),""))</f>
        <v/>
      </c>
      <c r="L533" s="21">
        <f>IF(AND($J533="",$K533=""),"",MIN(IF($J533="",99999,$J533),IF($K533="",99999,$K533)))</f>
        <v/>
      </c>
      <c r="M533" s="16">
        <f>IF(AND($I533="",$J533=""),"",IF(OR(AND($I533&lt;&gt;"",N($I533)&lt;0),AND($J533&lt;&gt;"",N($J533)&lt;0)),"Overdue",IF(OR(AND($I533&lt;&gt;"",N($I533)&lt;=IFERROR(INDEX('Intervals'!$E$4:$E$33,MATCH($B533,'Intervals'!$A$4:$A$33,0)),500)),AND($J533&lt;&gt;"",N($J533)&lt;=IFERROR(INDEX('Intervals'!$F$4:$F$33,MATCH($B533,'Intervals'!$A$4:$A$33,0)),14))),"Due soon","OK")))</f>
        <v/>
      </c>
      <c r="N533" s="15" t="n"/>
      <c r="O533" s="22">
        <f>IF(OR($M533="",$M533="OK"),"",$L533+ROW()/100000)</f>
        <v/>
      </c>
    </row>
    <row r="534">
      <c r="A534" s="15" t="n"/>
      <c r="B534" s="15" t="n"/>
      <c r="C534" s="16">
        <f>IF($B534="","",IFERROR(INDEX('Intervals'!$B$4:$B$33,MATCH($B534,'Intervals'!$A$4:$A$33,0)),""))</f>
        <v/>
      </c>
      <c r="D534" s="17" t="n"/>
      <c r="E534" s="18" t="n"/>
      <c r="F534" s="19">
        <f>IF(OR($B534="",$E534=""),"",IFERROR(IF(AND(INDEX('Intervals'!$G$4:$G$33,MATCH($B534,'Intervals'!$A$4:$A$33,0))&lt;&gt;"No",N(INDEX('Intervals'!$C$4:$C$33,MATCH($B534,'Intervals'!$A$4:$A$33,0)))&gt;0),$E534+N(INDEX('Intervals'!$C$4:$C$33,MATCH($B534,'Intervals'!$A$4:$A$33,0))),""),""))</f>
        <v/>
      </c>
      <c r="G534" s="20">
        <f>IF(OR($B534="",$D534=""),"",IFERROR(IF(AND(INDEX('Intervals'!$G$4:$G$33,MATCH($B534,'Intervals'!$A$4:$A$33,0))&lt;&gt;"No",N(INDEX('Intervals'!$D$4:$D$33,MATCH($B534,'Intervals'!$A$4:$A$33,0)))&gt;0),EDATE($D534,N(INDEX('Intervals'!$D$4:$D$33,MATCH($B534,'Intervals'!$A$4:$A$33,0)))),""),""))</f>
        <v/>
      </c>
      <c r="H534" s="19">
        <f>IF($A534="","",IFERROR(IF(N(INDEX('Cars'!$H$4:$H$103,MATCH($A534,'Cars'!$A$4:$A$103,0)))&gt;0,INDEX('Cars'!$H$4:$H$103,MATCH($A534,'Cars'!$A$4:$A$103,0)),""),""))</f>
        <v/>
      </c>
      <c r="I534" s="19">
        <f>IF(OR($F534="",$H534=""),"",$F534-$H534)</f>
        <v/>
      </c>
      <c r="J534" s="21">
        <f>IF($G534="","",$G534-TODAY())</f>
        <v/>
      </c>
      <c r="K534" s="21">
        <f>IF($I534="","",IFERROR(IF(N(INDEX('Cars'!$J$4:$J$103,MATCH($A534,'Cars'!$A$4:$A$103,0)))&gt;0,ROUND($I534/INDEX('Cars'!$J$4:$J$103,MATCH($A534,'Cars'!$A$4:$A$103,0))*30,0),""),""))</f>
        <v/>
      </c>
      <c r="L534" s="21">
        <f>IF(AND($J534="",$K534=""),"",MIN(IF($J534="",99999,$J534),IF($K534="",99999,$K534)))</f>
        <v/>
      </c>
      <c r="M534" s="16">
        <f>IF(AND($I534="",$J534=""),"",IF(OR(AND($I534&lt;&gt;"",N($I534)&lt;0),AND($J534&lt;&gt;"",N($J534)&lt;0)),"Overdue",IF(OR(AND($I534&lt;&gt;"",N($I534)&lt;=IFERROR(INDEX('Intervals'!$E$4:$E$33,MATCH($B534,'Intervals'!$A$4:$A$33,0)),500)),AND($J534&lt;&gt;"",N($J534)&lt;=IFERROR(INDEX('Intervals'!$F$4:$F$33,MATCH($B534,'Intervals'!$A$4:$A$33,0)),14))),"Due soon","OK")))</f>
        <v/>
      </c>
      <c r="N534" s="15" t="n"/>
      <c r="O534" s="22">
        <f>IF(OR($M534="",$M534="OK"),"",$L534+ROW()/100000)</f>
        <v/>
      </c>
    </row>
    <row r="535">
      <c r="A535" s="15" t="n"/>
      <c r="B535" s="15" t="n"/>
      <c r="C535" s="16">
        <f>IF($B535="","",IFERROR(INDEX('Intervals'!$B$4:$B$33,MATCH($B535,'Intervals'!$A$4:$A$33,0)),""))</f>
        <v/>
      </c>
      <c r="D535" s="17" t="n"/>
      <c r="E535" s="18" t="n"/>
      <c r="F535" s="19">
        <f>IF(OR($B535="",$E535=""),"",IFERROR(IF(AND(INDEX('Intervals'!$G$4:$G$33,MATCH($B535,'Intervals'!$A$4:$A$33,0))&lt;&gt;"No",N(INDEX('Intervals'!$C$4:$C$33,MATCH($B535,'Intervals'!$A$4:$A$33,0)))&gt;0),$E535+N(INDEX('Intervals'!$C$4:$C$33,MATCH($B535,'Intervals'!$A$4:$A$33,0))),""),""))</f>
        <v/>
      </c>
      <c r="G535" s="20">
        <f>IF(OR($B535="",$D535=""),"",IFERROR(IF(AND(INDEX('Intervals'!$G$4:$G$33,MATCH($B535,'Intervals'!$A$4:$A$33,0))&lt;&gt;"No",N(INDEX('Intervals'!$D$4:$D$33,MATCH($B535,'Intervals'!$A$4:$A$33,0)))&gt;0),EDATE($D535,N(INDEX('Intervals'!$D$4:$D$33,MATCH($B535,'Intervals'!$A$4:$A$33,0)))),""),""))</f>
        <v/>
      </c>
      <c r="H535" s="19">
        <f>IF($A535="","",IFERROR(IF(N(INDEX('Cars'!$H$4:$H$103,MATCH($A535,'Cars'!$A$4:$A$103,0)))&gt;0,INDEX('Cars'!$H$4:$H$103,MATCH($A535,'Cars'!$A$4:$A$103,0)),""),""))</f>
        <v/>
      </c>
      <c r="I535" s="19">
        <f>IF(OR($F535="",$H535=""),"",$F535-$H535)</f>
        <v/>
      </c>
      <c r="J535" s="21">
        <f>IF($G535="","",$G535-TODAY())</f>
        <v/>
      </c>
      <c r="K535" s="21">
        <f>IF($I535="","",IFERROR(IF(N(INDEX('Cars'!$J$4:$J$103,MATCH($A535,'Cars'!$A$4:$A$103,0)))&gt;0,ROUND($I535/INDEX('Cars'!$J$4:$J$103,MATCH($A535,'Cars'!$A$4:$A$103,0))*30,0),""),""))</f>
        <v/>
      </c>
      <c r="L535" s="21">
        <f>IF(AND($J535="",$K535=""),"",MIN(IF($J535="",99999,$J535),IF($K535="",99999,$K535)))</f>
        <v/>
      </c>
      <c r="M535" s="16">
        <f>IF(AND($I535="",$J535=""),"",IF(OR(AND($I535&lt;&gt;"",N($I535)&lt;0),AND($J535&lt;&gt;"",N($J535)&lt;0)),"Overdue",IF(OR(AND($I535&lt;&gt;"",N($I535)&lt;=IFERROR(INDEX('Intervals'!$E$4:$E$33,MATCH($B535,'Intervals'!$A$4:$A$33,0)),500)),AND($J535&lt;&gt;"",N($J535)&lt;=IFERROR(INDEX('Intervals'!$F$4:$F$33,MATCH($B535,'Intervals'!$A$4:$A$33,0)),14))),"Due soon","OK")))</f>
        <v/>
      </c>
      <c r="N535" s="15" t="n"/>
      <c r="O535" s="22">
        <f>IF(OR($M535="",$M535="OK"),"",$L535+ROW()/100000)</f>
        <v/>
      </c>
    </row>
    <row r="536">
      <c r="A536" s="15" t="n"/>
      <c r="B536" s="15" t="n"/>
      <c r="C536" s="16">
        <f>IF($B536="","",IFERROR(INDEX('Intervals'!$B$4:$B$33,MATCH($B536,'Intervals'!$A$4:$A$33,0)),""))</f>
        <v/>
      </c>
      <c r="D536" s="17" t="n"/>
      <c r="E536" s="18" t="n"/>
      <c r="F536" s="19">
        <f>IF(OR($B536="",$E536=""),"",IFERROR(IF(AND(INDEX('Intervals'!$G$4:$G$33,MATCH($B536,'Intervals'!$A$4:$A$33,0))&lt;&gt;"No",N(INDEX('Intervals'!$C$4:$C$33,MATCH($B536,'Intervals'!$A$4:$A$33,0)))&gt;0),$E536+N(INDEX('Intervals'!$C$4:$C$33,MATCH($B536,'Intervals'!$A$4:$A$33,0))),""),""))</f>
        <v/>
      </c>
      <c r="G536" s="20">
        <f>IF(OR($B536="",$D536=""),"",IFERROR(IF(AND(INDEX('Intervals'!$G$4:$G$33,MATCH($B536,'Intervals'!$A$4:$A$33,0))&lt;&gt;"No",N(INDEX('Intervals'!$D$4:$D$33,MATCH($B536,'Intervals'!$A$4:$A$33,0)))&gt;0),EDATE($D536,N(INDEX('Intervals'!$D$4:$D$33,MATCH($B536,'Intervals'!$A$4:$A$33,0)))),""),""))</f>
        <v/>
      </c>
      <c r="H536" s="19">
        <f>IF($A536="","",IFERROR(IF(N(INDEX('Cars'!$H$4:$H$103,MATCH($A536,'Cars'!$A$4:$A$103,0)))&gt;0,INDEX('Cars'!$H$4:$H$103,MATCH($A536,'Cars'!$A$4:$A$103,0)),""),""))</f>
        <v/>
      </c>
      <c r="I536" s="19">
        <f>IF(OR($F536="",$H536=""),"",$F536-$H536)</f>
        <v/>
      </c>
      <c r="J536" s="21">
        <f>IF($G536="","",$G536-TODAY())</f>
        <v/>
      </c>
      <c r="K536" s="21">
        <f>IF($I536="","",IFERROR(IF(N(INDEX('Cars'!$J$4:$J$103,MATCH($A536,'Cars'!$A$4:$A$103,0)))&gt;0,ROUND($I536/INDEX('Cars'!$J$4:$J$103,MATCH($A536,'Cars'!$A$4:$A$103,0))*30,0),""),""))</f>
        <v/>
      </c>
      <c r="L536" s="21">
        <f>IF(AND($J536="",$K536=""),"",MIN(IF($J536="",99999,$J536),IF($K536="",99999,$K536)))</f>
        <v/>
      </c>
      <c r="M536" s="16">
        <f>IF(AND($I536="",$J536=""),"",IF(OR(AND($I536&lt;&gt;"",N($I536)&lt;0),AND($J536&lt;&gt;"",N($J536)&lt;0)),"Overdue",IF(OR(AND($I536&lt;&gt;"",N($I536)&lt;=IFERROR(INDEX('Intervals'!$E$4:$E$33,MATCH($B536,'Intervals'!$A$4:$A$33,0)),500)),AND($J536&lt;&gt;"",N($J536)&lt;=IFERROR(INDEX('Intervals'!$F$4:$F$33,MATCH($B536,'Intervals'!$A$4:$A$33,0)),14))),"Due soon","OK")))</f>
        <v/>
      </c>
      <c r="N536" s="15" t="n"/>
      <c r="O536" s="22">
        <f>IF(OR($M536="",$M536="OK"),"",$L536+ROW()/100000)</f>
        <v/>
      </c>
    </row>
    <row r="537">
      <c r="A537" s="15" t="n"/>
      <c r="B537" s="15" t="n"/>
      <c r="C537" s="16">
        <f>IF($B537="","",IFERROR(INDEX('Intervals'!$B$4:$B$33,MATCH($B537,'Intervals'!$A$4:$A$33,0)),""))</f>
        <v/>
      </c>
      <c r="D537" s="17" t="n"/>
      <c r="E537" s="18" t="n"/>
      <c r="F537" s="19">
        <f>IF(OR($B537="",$E537=""),"",IFERROR(IF(AND(INDEX('Intervals'!$G$4:$G$33,MATCH($B537,'Intervals'!$A$4:$A$33,0))&lt;&gt;"No",N(INDEX('Intervals'!$C$4:$C$33,MATCH($B537,'Intervals'!$A$4:$A$33,0)))&gt;0),$E537+N(INDEX('Intervals'!$C$4:$C$33,MATCH($B537,'Intervals'!$A$4:$A$33,0))),""),""))</f>
        <v/>
      </c>
      <c r="G537" s="20">
        <f>IF(OR($B537="",$D537=""),"",IFERROR(IF(AND(INDEX('Intervals'!$G$4:$G$33,MATCH($B537,'Intervals'!$A$4:$A$33,0))&lt;&gt;"No",N(INDEX('Intervals'!$D$4:$D$33,MATCH($B537,'Intervals'!$A$4:$A$33,0)))&gt;0),EDATE($D537,N(INDEX('Intervals'!$D$4:$D$33,MATCH($B537,'Intervals'!$A$4:$A$33,0)))),""),""))</f>
        <v/>
      </c>
      <c r="H537" s="19">
        <f>IF($A537="","",IFERROR(IF(N(INDEX('Cars'!$H$4:$H$103,MATCH($A537,'Cars'!$A$4:$A$103,0)))&gt;0,INDEX('Cars'!$H$4:$H$103,MATCH($A537,'Cars'!$A$4:$A$103,0)),""),""))</f>
        <v/>
      </c>
      <c r="I537" s="19">
        <f>IF(OR($F537="",$H537=""),"",$F537-$H537)</f>
        <v/>
      </c>
      <c r="J537" s="21">
        <f>IF($G537="","",$G537-TODAY())</f>
        <v/>
      </c>
      <c r="K537" s="21">
        <f>IF($I537="","",IFERROR(IF(N(INDEX('Cars'!$J$4:$J$103,MATCH($A537,'Cars'!$A$4:$A$103,0)))&gt;0,ROUND($I537/INDEX('Cars'!$J$4:$J$103,MATCH($A537,'Cars'!$A$4:$A$103,0))*30,0),""),""))</f>
        <v/>
      </c>
      <c r="L537" s="21">
        <f>IF(AND($J537="",$K537=""),"",MIN(IF($J537="",99999,$J537),IF($K537="",99999,$K537)))</f>
        <v/>
      </c>
      <c r="M537" s="16">
        <f>IF(AND($I537="",$J537=""),"",IF(OR(AND($I537&lt;&gt;"",N($I537)&lt;0),AND($J537&lt;&gt;"",N($J537)&lt;0)),"Overdue",IF(OR(AND($I537&lt;&gt;"",N($I537)&lt;=IFERROR(INDEX('Intervals'!$E$4:$E$33,MATCH($B537,'Intervals'!$A$4:$A$33,0)),500)),AND($J537&lt;&gt;"",N($J537)&lt;=IFERROR(INDEX('Intervals'!$F$4:$F$33,MATCH($B537,'Intervals'!$A$4:$A$33,0)),14))),"Due soon","OK")))</f>
        <v/>
      </c>
      <c r="N537" s="15" t="n"/>
      <c r="O537" s="22">
        <f>IF(OR($M537="",$M537="OK"),"",$L537+ROW()/100000)</f>
        <v/>
      </c>
    </row>
    <row r="538">
      <c r="A538" s="15" t="n"/>
      <c r="B538" s="15" t="n"/>
      <c r="C538" s="16">
        <f>IF($B538="","",IFERROR(INDEX('Intervals'!$B$4:$B$33,MATCH($B538,'Intervals'!$A$4:$A$33,0)),""))</f>
        <v/>
      </c>
      <c r="D538" s="17" t="n"/>
      <c r="E538" s="18" t="n"/>
      <c r="F538" s="19">
        <f>IF(OR($B538="",$E538=""),"",IFERROR(IF(AND(INDEX('Intervals'!$G$4:$G$33,MATCH($B538,'Intervals'!$A$4:$A$33,0))&lt;&gt;"No",N(INDEX('Intervals'!$C$4:$C$33,MATCH($B538,'Intervals'!$A$4:$A$33,0)))&gt;0),$E538+N(INDEX('Intervals'!$C$4:$C$33,MATCH($B538,'Intervals'!$A$4:$A$33,0))),""),""))</f>
        <v/>
      </c>
      <c r="G538" s="20">
        <f>IF(OR($B538="",$D538=""),"",IFERROR(IF(AND(INDEX('Intervals'!$G$4:$G$33,MATCH($B538,'Intervals'!$A$4:$A$33,0))&lt;&gt;"No",N(INDEX('Intervals'!$D$4:$D$33,MATCH($B538,'Intervals'!$A$4:$A$33,0)))&gt;0),EDATE($D538,N(INDEX('Intervals'!$D$4:$D$33,MATCH($B538,'Intervals'!$A$4:$A$33,0)))),""),""))</f>
        <v/>
      </c>
      <c r="H538" s="19">
        <f>IF($A538="","",IFERROR(IF(N(INDEX('Cars'!$H$4:$H$103,MATCH($A538,'Cars'!$A$4:$A$103,0)))&gt;0,INDEX('Cars'!$H$4:$H$103,MATCH($A538,'Cars'!$A$4:$A$103,0)),""),""))</f>
        <v/>
      </c>
      <c r="I538" s="19">
        <f>IF(OR($F538="",$H538=""),"",$F538-$H538)</f>
        <v/>
      </c>
      <c r="J538" s="21">
        <f>IF($G538="","",$G538-TODAY())</f>
        <v/>
      </c>
      <c r="K538" s="21">
        <f>IF($I538="","",IFERROR(IF(N(INDEX('Cars'!$J$4:$J$103,MATCH($A538,'Cars'!$A$4:$A$103,0)))&gt;0,ROUND($I538/INDEX('Cars'!$J$4:$J$103,MATCH($A538,'Cars'!$A$4:$A$103,0))*30,0),""),""))</f>
        <v/>
      </c>
      <c r="L538" s="21">
        <f>IF(AND($J538="",$K538=""),"",MIN(IF($J538="",99999,$J538),IF($K538="",99999,$K538)))</f>
        <v/>
      </c>
      <c r="M538" s="16">
        <f>IF(AND($I538="",$J538=""),"",IF(OR(AND($I538&lt;&gt;"",N($I538)&lt;0),AND($J538&lt;&gt;"",N($J538)&lt;0)),"Overdue",IF(OR(AND($I538&lt;&gt;"",N($I538)&lt;=IFERROR(INDEX('Intervals'!$E$4:$E$33,MATCH($B538,'Intervals'!$A$4:$A$33,0)),500)),AND($J538&lt;&gt;"",N($J538)&lt;=IFERROR(INDEX('Intervals'!$F$4:$F$33,MATCH($B538,'Intervals'!$A$4:$A$33,0)),14))),"Due soon","OK")))</f>
        <v/>
      </c>
      <c r="N538" s="15" t="n"/>
      <c r="O538" s="22">
        <f>IF(OR($M538="",$M538="OK"),"",$L538+ROW()/100000)</f>
        <v/>
      </c>
    </row>
    <row r="539">
      <c r="A539" s="15" t="n"/>
      <c r="B539" s="15" t="n"/>
      <c r="C539" s="16">
        <f>IF($B539="","",IFERROR(INDEX('Intervals'!$B$4:$B$33,MATCH($B539,'Intervals'!$A$4:$A$33,0)),""))</f>
        <v/>
      </c>
      <c r="D539" s="17" t="n"/>
      <c r="E539" s="18" t="n"/>
      <c r="F539" s="19">
        <f>IF(OR($B539="",$E539=""),"",IFERROR(IF(AND(INDEX('Intervals'!$G$4:$G$33,MATCH($B539,'Intervals'!$A$4:$A$33,0))&lt;&gt;"No",N(INDEX('Intervals'!$C$4:$C$33,MATCH($B539,'Intervals'!$A$4:$A$33,0)))&gt;0),$E539+N(INDEX('Intervals'!$C$4:$C$33,MATCH($B539,'Intervals'!$A$4:$A$33,0))),""),""))</f>
        <v/>
      </c>
      <c r="G539" s="20">
        <f>IF(OR($B539="",$D539=""),"",IFERROR(IF(AND(INDEX('Intervals'!$G$4:$G$33,MATCH($B539,'Intervals'!$A$4:$A$33,0))&lt;&gt;"No",N(INDEX('Intervals'!$D$4:$D$33,MATCH($B539,'Intervals'!$A$4:$A$33,0)))&gt;0),EDATE($D539,N(INDEX('Intervals'!$D$4:$D$33,MATCH($B539,'Intervals'!$A$4:$A$33,0)))),""),""))</f>
        <v/>
      </c>
      <c r="H539" s="19">
        <f>IF($A539="","",IFERROR(IF(N(INDEX('Cars'!$H$4:$H$103,MATCH($A539,'Cars'!$A$4:$A$103,0)))&gt;0,INDEX('Cars'!$H$4:$H$103,MATCH($A539,'Cars'!$A$4:$A$103,0)),""),""))</f>
        <v/>
      </c>
      <c r="I539" s="19">
        <f>IF(OR($F539="",$H539=""),"",$F539-$H539)</f>
        <v/>
      </c>
      <c r="J539" s="21">
        <f>IF($G539="","",$G539-TODAY())</f>
        <v/>
      </c>
      <c r="K539" s="21">
        <f>IF($I539="","",IFERROR(IF(N(INDEX('Cars'!$J$4:$J$103,MATCH($A539,'Cars'!$A$4:$A$103,0)))&gt;0,ROUND($I539/INDEX('Cars'!$J$4:$J$103,MATCH($A539,'Cars'!$A$4:$A$103,0))*30,0),""),""))</f>
        <v/>
      </c>
      <c r="L539" s="21">
        <f>IF(AND($J539="",$K539=""),"",MIN(IF($J539="",99999,$J539),IF($K539="",99999,$K539)))</f>
        <v/>
      </c>
      <c r="M539" s="16">
        <f>IF(AND($I539="",$J539=""),"",IF(OR(AND($I539&lt;&gt;"",N($I539)&lt;0),AND($J539&lt;&gt;"",N($J539)&lt;0)),"Overdue",IF(OR(AND($I539&lt;&gt;"",N($I539)&lt;=IFERROR(INDEX('Intervals'!$E$4:$E$33,MATCH($B539,'Intervals'!$A$4:$A$33,0)),500)),AND($J539&lt;&gt;"",N($J539)&lt;=IFERROR(INDEX('Intervals'!$F$4:$F$33,MATCH($B539,'Intervals'!$A$4:$A$33,0)),14))),"Due soon","OK")))</f>
        <v/>
      </c>
      <c r="N539" s="15" t="n"/>
      <c r="O539" s="22">
        <f>IF(OR($M539="",$M539="OK"),"",$L539+ROW()/100000)</f>
        <v/>
      </c>
    </row>
    <row r="540">
      <c r="A540" s="15" t="n"/>
      <c r="B540" s="15" t="n"/>
      <c r="C540" s="16">
        <f>IF($B540="","",IFERROR(INDEX('Intervals'!$B$4:$B$33,MATCH($B540,'Intervals'!$A$4:$A$33,0)),""))</f>
        <v/>
      </c>
      <c r="D540" s="17" t="n"/>
      <c r="E540" s="18" t="n"/>
      <c r="F540" s="19">
        <f>IF(OR($B540="",$E540=""),"",IFERROR(IF(AND(INDEX('Intervals'!$G$4:$G$33,MATCH($B540,'Intervals'!$A$4:$A$33,0))&lt;&gt;"No",N(INDEX('Intervals'!$C$4:$C$33,MATCH($B540,'Intervals'!$A$4:$A$33,0)))&gt;0),$E540+N(INDEX('Intervals'!$C$4:$C$33,MATCH($B540,'Intervals'!$A$4:$A$33,0))),""),""))</f>
        <v/>
      </c>
      <c r="G540" s="20">
        <f>IF(OR($B540="",$D540=""),"",IFERROR(IF(AND(INDEX('Intervals'!$G$4:$G$33,MATCH($B540,'Intervals'!$A$4:$A$33,0))&lt;&gt;"No",N(INDEX('Intervals'!$D$4:$D$33,MATCH($B540,'Intervals'!$A$4:$A$33,0)))&gt;0),EDATE($D540,N(INDEX('Intervals'!$D$4:$D$33,MATCH($B540,'Intervals'!$A$4:$A$33,0)))),""),""))</f>
        <v/>
      </c>
      <c r="H540" s="19">
        <f>IF($A540="","",IFERROR(IF(N(INDEX('Cars'!$H$4:$H$103,MATCH($A540,'Cars'!$A$4:$A$103,0)))&gt;0,INDEX('Cars'!$H$4:$H$103,MATCH($A540,'Cars'!$A$4:$A$103,0)),""),""))</f>
        <v/>
      </c>
      <c r="I540" s="19">
        <f>IF(OR($F540="",$H540=""),"",$F540-$H540)</f>
        <v/>
      </c>
      <c r="J540" s="21">
        <f>IF($G540="","",$G540-TODAY())</f>
        <v/>
      </c>
      <c r="K540" s="21">
        <f>IF($I540="","",IFERROR(IF(N(INDEX('Cars'!$J$4:$J$103,MATCH($A540,'Cars'!$A$4:$A$103,0)))&gt;0,ROUND($I540/INDEX('Cars'!$J$4:$J$103,MATCH($A540,'Cars'!$A$4:$A$103,0))*30,0),""),""))</f>
        <v/>
      </c>
      <c r="L540" s="21">
        <f>IF(AND($J540="",$K540=""),"",MIN(IF($J540="",99999,$J540),IF($K540="",99999,$K540)))</f>
        <v/>
      </c>
      <c r="M540" s="16">
        <f>IF(AND($I540="",$J540=""),"",IF(OR(AND($I540&lt;&gt;"",N($I540)&lt;0),AND($J540&lt;&gt;"",N($J540)&lt;0)),"Overdue",IF(OR(AND($I540&lt;&gt;"",N($I540)&lt;=IFERROR(INDEX('Intervals'!$E$4:$E$33,MATCH($B540,'Intervals'!$A$4:$A$33,0)),500)),AND($J540&lt;&gt;"",N($J540)&lt;=IFERROR(INDEX('Intervals'!$F$4:$F$33,MATCH($B540,'Intervals'!$A$4:$A$33,0)),14))),"Due soon","OK")))</f>
        <v/>
      </c>
      <c r="N540" s="15" t="n"/>
      <c r="O540" s="22">
        <f>IF(OR($M540="",$M540="OK"),"",$L540+ROW()/100000)</f>
        <v/>
      </c>
    </row>
    <row r="541">
      <c r="A541" s="15" t="n"/>
      <c r="B541" s="15" t="n"/>
      <c r="C541" s="16">
        <f>IF($B541="","",IFERROR(INDEX('Intervals'!$B$4:$B$33,MATCH($B541,'Intervals'!$A$4:$A$33,0)),""))</f>
        <v/>
      </c>
      <c r="D541" s="17" t="n"/>
      <c r="E541" s="18" t="n"/>
      <c r="F541" s="19">
        <f>IF(OR($B541="",$E541=""),"",IFERROR(IF(AND(INDEX('Intervals'!$G$4:$G$33,MATCH($B541,'Intervals'!$A$4:$A$33,0))&lt;&gt;"No",N(INDEX('Intervals'!$C$4:$C$33,MATCH($B541,'Intervals'!$A$4:$A$33,0)))&gt;0),$E541+N(INDEX('Intervals'!$C$4:$C$33,MATCH($B541,'Intervals'!$A$4:$A$33,0))),""),""))</f>
        <v/>
      </c>
      <c r="G541" s="20">
        <f>IF(OR($B541="",$D541=""),"",IFERROR(IF(AND(INDEX('Intervals'!$G$4:$G$33,MATCH($B541,'Intervals'!$A$4:$A$33,0))&lt;&gt;"No",N(INDEX('Intervals'!$D$4:$D$33,MATCH($B541,'Intervals'!$A$4:$A$33,0)))&gt;0),EDATE($D541,N(INDEX('Intervals'!$D$4:$D$33,MATCH($B541,'Intervals'!$A$4:$A$33,0)))),""),""))</f>
        <v/>
      </c>
      <c r="H541" s="19">
        <f>IF($A541="","",IFERROR(IF(N(INDEX('Cars'!$H$4:$H$103,MATCH($A541,'Cars'!$A$4:$A$103,0)))&gt;0,INDEX('Cars'!$H$4:$H$103,MATCH($A541,'Cars'!$A$4:$A$103,0)),""),""))</f>
        <v/>
      </c>
      <c r="I541" s="19">
        <f>IF(OR($F541="",$H541=""),"",$F541-$H541)</f>
        <v/>
      </c>
      <c r="J541" s="21">
        <f>IF($G541="","",$G541-TODAY())</f>
        <v/>
      </c>
      <c r="K541" s="21">
        <f>IF($I541="","",IFERROR(IF(N(INDEX('Cars'!$J$4:$J$103,MATCH($A541,'Cars'!$A$4:$A$103,0)))&gt;0,ROUND($I541/INDEX('Cars'!$J$4:$J$103,MATCH($A541,'Cars'!$A$4:$A$103,0))*30,0),""),""))</f>
        <v/>
      </c>
      <c r="L541" s="21">
        <f>IF(AND($J541="",$K541=""),"",MIN(IF($J541="",99999,$J541),IF($K541="",99999,$K541)))</f>
        <v/>
      </c>
      <c r="M541" s="16">
        <f>IF(AND($I541="",$J541=""),"",IF(OR(AND($I541&lt;&gt;"",N($I541)&lt;0),AND($J541&lt;&gt;"",N($J541)&lt;0)),"Overdue",IF(OR(AND($I541&lt;&gt;"",N($I541)&lt;=IFERROR(INDEX('Intervals'!$E$4:$E$33,MATCH($B541,'Intervals'!$A$4:$A$33,0)),500)),AND($J541&lt;&gt;"",N($J541)&lt;=IFERROR(INDEX('Intervals'!$F$4:$F$33,MATCH($B541,'Intervals'!$A$4:$A$33,0)),14))),"Due soon","OK")))</f>
        <v/>
      </c>
      <c r="N541" s="15" t="n"/>
      <c r="O541" s="22">
        <f>IF(OR($M541="",$M541="OK"),"",$L541+ROW()/100000)</f>
        <v/>
      </c>
    </row>
    <row r="542">
      <c r="A542" s="15" t="n"/>
      <c r="B542" s="15" t="n"/>
      <c r="C542" s="16">
        <f>IF($B542="","",IFERROR(INDEX('Intervals'!$B$4:$B$33,MATCH($B542,'Intervals'!$A$4:$A$33,0)),""))</f>
        <v/>
      </c>
      <c r="D542" s="17" t="n"/>
      <c r="E542" s="18" t="n"/>
      <c r="F542" s="19">
        <f>IF(OR($B542="",$E542=""),"",IFERROR(IF(AND(INDEX('Intervals'!$G$4:$G$33,MATCH($B542,'Intervals'!$A$4:$A$33,0))&lt;&gt;"No",N(INDEX('Intervals'!$C$4:$C$33,MATCH($B542,'Intervals'!$A$4:$A$33,0)))&gt;0),$E542+N(INDEX('Intervals'!$C$4:$C$33,MATCH($B542,'Intervals'!$A$4:$A$33,0))),""),""))</f>
        <v/>
      </c>
      <c r="G542" s="20">
        <f>IF(OR($B542="",$D542=""),"",IFERROR(IF(AND(INDEX('Intervals'!$G$4:$G$33,MATCH($B542,'Intervals'!$A$4:$A$33,0))&lt;&gt;"No",N(INDEX('Intervals'!$D$4:$D$33,MATCH($B542,'Intervals'!$A$4:$A$33,0)))&gt;0),EDATE($D542,N(INDEX('Intervals'!$D$4:$D$33,MATCH($B542,'Intervals'!$A$4:$A$33,0)))),""),""))</f>
        <v/>
      </c>
      <c r="H542" s="19">
        <f>IF($A542="","",IFERROR(IF(N(INDEX('Cars'!$H$4:$H$103,MATCH($A542,'Cars'!$A$4:$A$103,0)))&gt;0,INDEX('Cars'!$H$4:$H$103,MATCH($A542,'Cars'!$A$4:$A$103,0)),""),""))</f>
        <v/>
      </c>
      <c r="I542" s="19">
        <f>IF(OR($F542="",$H542=""),"",$F542-$H542)</f>
        <v/>
      </c>
      <c r="J542" s="21">
        <f>IF($G542="","",$G542-TODAY())</f>
        <v/>
      </c>
      <c r="K542" s="21">
        <f>IF($I542="","",IFERROR(IF(N(INDEX('Cars'!$J$4:$J$103,MATCH($A542,'Cars'!$A$4:$A$103,0)))&gt;0,ROUND($I542/INDEX('Cars'!$J$4:$J$103,MATCH($A542,'Cars'!$A$4:$A$103,0))*30,0),""),""))</f>
        <v/>
      </c>
      <c r="L542" s="21">
        <f>IF(AND($J542="",$K542=""),"",MIN(IF($J542="",99999,$J542),IF($K542="",99999,$K542)))</f>
        <v/>
      </c>
      <c r="M542" s="16">
        <f>IF(AND($I542="",$J542=""),"",IF(OR(AND($I542&lt;&gt;"",N($I542)&lt;0),AND($J542&lt;&gt;"",N($J542)&lt;0)),"Overdue",IF(OR(AND($I542&lt;&gt;"",N($I542)&lt;=IFERROR(INDEX('Intervals'!$E$4:$E$33,MATCH($B542,'Intervals'!$A$4:$A$33,0)),500)),AND($J542&lt;&gt;"",N($J542)&lt;=IFERROR(INDEX('Intervals'!$F$4:$F$33,MATCH($B542,'Intervals'!$A$4:$A$33,0)),14))),"Due soon","OK")))</f>
        <v/>
      </c>
      <c r="N542" s="15" t="n"/>
      <c r="O542" s="22">
        <f>IF(OR($M542="",$M542="OK"),"",$L542+ROW()/100000)</f>
        <v/>
      </c>
    </row>
    <row r="543">
      <c r="A543" s="15" t="n"/>
      <c r="B543" s="15" t="n"/>
      <c r="C543" s="16">
        <f>IF($B543="","",IFERROR(INDEX('Intervals'!$B$4:$B$33,MATCH($B543,'Intervals'!$A$4:$A$33,0)),""))</f>
        <v/>
      </c>
      <c r="D543" s="17" t="n"/>
      <c r="E543" s="18" t="n"/>
      <c r="F543" s="19">
        <f>IF(OR($B543="",$E543=""),"",IFERROR(IF(AND(INDEX('Intervals'!$G$4:$G$33,MATCH($B543,'Intervals'!$A$4:$A$33,0))&lt;&gt;"No",N(INDEX('Intervals'!$C$4:$C$33,MATCH($B543,'Intervals'!$A$4:$A$33,0)))&gt;0),$E543+N(INDEX('Intervals'!$C$4:$C$33,MATCH($B543,'Intervals'!$A$4:$A$33,0))),""),""))</f>
        <v/>
      </c>
      <c r="G543" s="20">
        <f>IF(OR($B543="",$D543=""),"",IFERROR(IF(AND(INDEX('Intervals'!$G$4:$G$33,MATCH($B543,'Intervals'!$A$4:$A$33,0))&lt;&gt;"No",N(INDEX('Intervals'!$D$4:$D$33,MATCH($B543,'Intervals'!$A$4:$A$33,0)))&gt;0),EDATE($D543,N(INDEX('Intervals'!$D$4:$D$33,MATCH($B543,'Intervals'!$A$4:$A$33,0)))),""),""))</f>
        <v/>
      </c>
      <c r="H543" s="19">
        <f>IF($A543="","",IFERROR(IF(N(INDEX('Cars'!$H$4:$H$103,MATCH($A543,'Cars'!$A$4:$A$103,0)))&gt;0,INDEX('Cars'!$H$4:$H$103,MATCH($A543,'Cars'!$A$4:$A$103,0)),""),""))</f>
        <v/>
      </c>
      <c r="I543" s="19">
        <f>IF(OR($F543="",$H543=""),"",$F543-$H543)</f>
        <v/>
      </c>
      <c r="J543" s="21">
        <f>IF($G543="","",$G543-TODAY())</f>
        <v/>
      </c>
      <c r="K543" s="21">
        <f>IF($I543="","",IFERROR(IF(N(INDEX('Cars'!$J$4:$J$103,MATCH($A543,'Cars'!$A$4:$A$103,0)))&gt;0,ROUND($I543/INDEX('Cars'!$J$4:$J$103,MATCH($A543,'Cars'!$A$4:$A$103,0))*30,0),""),""))</f>
        <v/>
      </c>
      <c r="L543" s="21">
        <f>IF(AND($J543="",$K543=""),"",MIN(IF($J543="",99999,$J543),IF($K543="",99999,$K543)))</f>
        <v/>
      </c>
      <c r="M543" s="16">
        <f>IF(AND($I543="",$J543=""),"",IF(OR(AND($I543&lt;&gt;"",N($I543)&lt;0),AND($J543&lt;&gt;"",N($J543)&lt;0)),"Overdue",IF(OR(AND($I543&lt;&gt;"",N($I543)&lt;=IFERROR(INDEX('Intervals'!$E$4:$E$33,MATCH($B543,'Intervals'!$A$4:$A$33,0)),500)),AND($J543&lt;&gt;"",N($J543)&lt;=IFERROR(INDEX('Intervals'!$F$4:$F$33,MATCH($B543,'Intervals'!$A$4:$A$33,0)),14))),"Due soon","OK")))</f>
        <v/>
      </c>
      <c r="N543" s="15" t="n"/>
      <c r="O543" s="22">
        <f>IF(OR($M543="",$M543="OK"),"",$L543+ROW()/100000)</f>
        <v/>
      </c>
    </row>
    <row r="544">
      <c r="A544" s="15" t="n"/>
      <c r="B544" s="15" t="n"/>
      <c r="C544" s="16">
        <f>IF($B544="","",IFERROR(INDEX('Intervals'!$B$4:$B$33,MATCH($B544,'Intervals'!$A$4:$A$33,0)),""))</f>
        <v/>
      </c>
      <c r="D544" s="17" t="n"/>
      <c r="E544" s="18" t="n"/>
      <c r="F544" s="19">
        <f>IF(OR($B544="",$E544=""),"",IFERROR(IF(AND(INDEX('Intervals'!$G$4:$G$33,MATCH($B544,'Intervals'!$A$4:$A$33,0))&lt;&gt;"No",N(INDEX('Intervals'!$C$4:$C$33,MATCH($B544,'Intervals'!$A$4:$A$33,0)))&gt;0),$E544+N(INDEX('Intervals'!$C$4:$C$33,MATCH($B544,'Intervals'!$A$4:$A$33,0))),""),""))</f>
        <v/>
      </c>
      <c r="G544" s="20">
        <f>IF(OR($B544="",$D544=""),"",IFERROR(IF(AND(INDEX('Intervals'!$G$4:$G$33,MATCH($B544,'Intervals'!$A$4:$A$33,0))&lt;&gt;"No",N(INDEX('Intervals'!$D$4:$D$33,MATCH($B544,'Intervals'!$A$4:$A$33,0)))&gt;0),EDATE($D544,N(INDEX('Intervals'!$D$4:$D$33,MATCH($B544,'Intervals'!$A$4:$A$33,0)))),""),""))</f>
        <v/>
      </c>
      <c r="H544" s="19">
        <f>IF($A544="","",IFERROR(IF(N(INDEX('Cars'!$H$4:$H$103,MATCH($A544,'Cars'!$A$4:$A$103,0)))&gt;0,INDEX('Cars'!$H$4:$H$103,MATCH($A544,'Cars'!$A$4:$A$103,0)),""),""))</f>
        <v/>
      </c>
      <c r="I544" s="19">
        <f>IF(OR($F544="",$H544=""),"",$F544-$H544)</f>
        <v/>
      </c>
      <c r="J544" s="21">
        <f>IF($G544="","",$G544-TODAY())</f>
        <v/>
      </c>
      <c r="K544" s="21">
        <f>IF($I544="","",IFERROR(IF(N(INDEX('Cars'!$J$4:$J$103,MATCH($A544,'Cars'!$A$4:$A$103,0)))&gt;0,ROUND($I544/INDEX('Cars'!$J$4:$J$103,MATCH($A544,'Cars'!$A$4:$A$103,0))*30,0),""),""))</f>
        <v/>
      </c>
      <c r="L544" s="21">
        <f>IF(AND($J544="",$K544=""),"",MIN(IF($J544="",99999,$J544),IF($K544="",99999,$K544)))</f>
        <v/>
      </c>
      <c r="M544" s="16">
        <f>IF(AND($I544="",$J544=""),"",IF(OR(AND($I544&lt;&gt;"",N($I544)&lt;0),AND($J544&lt;&gt;"",N($J544)&lt;0)),"Overdue",IF(OR(AND($I544&lt;&gt;"",N($I544)&lt;=IFERROR(INDEX('Intervals'!$E$4:$E$33,MATCH($B544,'Intervals'!$A$4:$A$33,0)),500)),AND($J544&lt;&gt;"",N($J544)&lt;=IFERROR(INDEX('Intervals'!$F$4:$F$33,MATCH($B544,'Intervals'!$A$4:$A$33,0)),14))),"Due soon","OK")))</f>
        <v/>
      </c>
      <c r="N544" s="15" t="n"/>
      <c r="O544" s="22">
        <f>IF(OR($M544="",$M544="OK"),"",$L544+ROW()/100000)</f>
        <v/>
      </c>
    </row>
    <row r="545">
      <c r="A545" s="15" t="n"/>
      <c r="B545" s="15" t="n"/>
      <c r="C545" s="16">
        <f>IF($B545="","",IFERROR(INDEX('Intervals'!$B$4:$B$33,MATCH($B545,'Intervals'!$A$4:$A$33,0)),""))</f>
        <v/>
      </c>
      <c r="D545" s="17" t="n"/>
      <c r="E545" s="18" t="n"/>
      <c r="F545" s="19">
        <f>IF(OR($B545="",$E545=""),"",IFERROR(IF(AND(INDEX('Intervals'!$G$4:$G$33,MATCH($B545,'Intervals'!$A$4:$A$33,0))&lt;&gt;"No",N(INDEX('Intervals'!$C$4:$C$33,MATCH($B545,'Intervals'!$A$4:$A$33,0)))&gt;0),$E545+N(INDEX('Intervals'!$C$4:$C$33,MATCH($B545,'Intervals'!$A$4:$A$33,0))),""),""))</f>
        <v/>
      </c>
      <c r="G545" s="20">
        <f>IF(OR($B545="",$D545=""),"",IFERROR(IF(AND(INDEX('Intervals'!$G$4:$G$33,MATCH($B545,'Intervals'!$A$4:$A$33,0))&lt;&gt;"No",N(INDEX('Intervals'!$D$4:$D$33,MATCH($B545,'Intervals'!$A$4:$A$33,0)))&gt;0),EDATE($D545,N(INDEX('Intervals'!$D$4:$D$33,MATCH($B545,'Intervals'!$A$4:$A$33,0)))),""),""))</f>
        <v/>
      </c>
      <c r="H545" s="19">
        <f>IF($A545="","",IFERROR(IF(N(INDEX('Cars'!$H$4:$H$103,MATCH($A545,'Cars'!$A$4:$A$103,0)))&gt;0,INDEX('Cars'!$H$4:$H$103,MATCH($A545,'Cars'!$A$4:$A$103,0)),""),""))</f>
        <v/>
      </c>
      <c r="I545" s="19">
        <f>IF(OR($F545="",$H545=""),"",$F545-$H545)</f>
        <v/>
      </c>
      <c r="J545" s="21">
        <f>IF($G545="","",$G545-TODAY())</f>
        <v/>
      </c>
      <c r="K545" s="21">
        <f>IF($I545="","",IFERROR(IF(N(INDEX('Cars'!$J$4:$J$103,MATCH($A545,'Cars'!$A$4:$A$103,0)))&gt;0,ROUND($I545/INDEX('Cars'!$J$4:$J$103,MATCH($A545,'Cars'!$A$4:$A$103,0))*30,0),""),""))</f>
        <v/>
      </c>
      <c r="L545" s="21">
        <f>IF(AND($J545="",$K545=""),"",MIN(IF($J545="",99999,$J545),IF($K545="",99999,$K545)))</f>
        <v/>
      </c>
      <c r="M545" s="16">
        <f>IF(AND($I545="",$J545=""),"",IF(OR(AND($I545&lt;&gt;"",N($I545)&lt;0),AND($J545&lt;&gt;"",N($J545)&lt;0)),"Overdue",IF(OR(AND($I545&lt;&gt;"",N($I545)&lt;=IFERROR(INDEX('Intervals'!$E$4:$E$33,MATCH($B545,'Intervals'!$A$4:$A$33,0)),500)),AND($J545&lt;&gt;"",N($J545)&lt;=IFERROR(INDEX('Intervals'!$F$4:$F$33,MATCH($B545,'Intervals'!$A$4:$A$33,0)),14))),"Due soon","OK")))</f>
        <v/>
      </c>
      <c r="N545" s="15" t="n"/>
      <c r="O545" s="22">
        <f>IF(OR($M545="",$M545="OK"),"",$L545+ROW()/100000)</f>
        <v/>
      </c>
    </row>
    <row r="546">
      <c r="A546" s="15" t="n"/>
      <c r="B546" s="15" t="n"/>
      <c r="C546" s="16">
        <f>IF($B546="","",IFERROR(INDEX('Intervals'!$B$4:$B$33,MATCH($B546,'Intervals'!$A$4:$A$33,0)),""))</f>
        <v/>
      </c>
      <c r="D546" s="17" t="n"/>
      <c r="E546" s="18" t="n"/>
      <c r="F546" s="19">
        <f>IF(OR($B546="",$E546=""),"",IFERROR(IF(AND(INDEX('Intervals'!$G$4:$G$33,MATCH($B546,'Intervals'!$A$4:$A$33,0))&lt;&gt;"No",N(INDEX('Intervals'!$C$4:$C$33,MATCH($B546,'Intervals'!$A$4:$A$33,0)))&gt;0),$E546+N(INDEX('Intervals'!$C$4:$C$33,MATCH($B546,'Intervals'!$A$4:$A$33,0))),""),""))</f>
        <v/>
      </c>
      <c r="G546" s="20">
        <f>IF(OR($B546="",$D546=""),"",IFERROR(IF(AND(INDEX('Intervals'!$G$4:$G$33,MATCH($B546,'Intervals'!$A$4:$A$33,0))&lt;&gt;"No",N(INDEX('Intervals'!$D$4:$D$33,MATCH($B546,'Intervals'!$A$4:$A$33,0)))&gt;0),EDATE($D546,N(INDEX('Intervals'!$D$4:$D$33,MATCH($B546,'Intervals'!$A$4:$A$33,0)))),""),""))</f>
        <v/>
      </c>
      <c r="H546" s="19">
        <f>IF($A546="","",IFERROR(IF(N(INDEX('Cars'!$H$4:$H$103,MATCH($A546,'Cars'!$A$4:$A$103,0)))&gt;0,INDEX('Cars'!$H$4:$H$103,MATCH($A546,'Cars'!$A$4:$A$103,0)),""),""))</f>
        <v/>
      </c>
      <c r="I546" s="19">
        <f>IF(OR($F546="",$H546=""),"",$F546-$H546)</f>
        <v/>
      </c>
      <c r="J546" s="21">
        <f>IF($G546="","",$G546-TODAY())</f>
        <v/>
      </c>
      <c r="K546" s="21">
        <f>IF($I546="","",IFERROR(IF(N(INDEX('Cars'!$J$4:$J$103,MATCH($A546,'Cars'!$A$4:$A$103,0)))&gt;0,ROUND($I546/INDEX('Cars'!$J$4:$J$103,MATCH($A546,'Cars'!$A$4:$A$103,0))*30,0),""),""))</f>
        <v/>
      </c>
      <c r="L546" s="21">
        <f>IF(AND($J546="",$K546=""),"",MIN(IF($J546="",99999,$J546),IF($K546="",99999,$K546)))</f>
        <v/>
      </c>
      <c r="M546" s="16">
        <f>IF(AND($I546="",$J546=""),"",IF(OR(AND($I546&lt;&gt;"",N($I546)&lt;0),AND($J546&lt;&gt;"",N($J546)&lt;0)),"Overdue",IF(OR(AND($I546&lt;&gt;"",N($I546)&lt;=IFERROR(INDEX('Intervals'!$E$4:$E$33,MATCH($B546,'Intervals'!$A$4:$A$33,0)),500)),AND($J546&lt;&gt;"",N($J546)&lt;=IFERROR(INDEX('Intervals'!$F$4:$F$33,MATCH($B546,'Intervals'!$A$4:$A$33,0)),14))),"Due soon","OK")))</f>
        <v/>
      </c>
      <c r="N546" s="15" t="n"/>
      <c r="O546" s="22">
        <f>IF(OR($M546="",$M546="OK"),"",$L546+ROW()/100000)</f>
        <v/>
      </c>
    </row>
    <row r="547">
      <c r="A547" s="15" t="n"/>
      <c r="B547" s="15" t="n"/>
      <c r="C547" s="16">
        <f>IF($B547="","",IFERROR(INDEX('Intervals'!$B$4:$B$33,MATCH($B547,'Intervals'!$A$4:$A$33,0)),""))</f>
        <v/>
      </c>
      <c r="D547" s="17" t="n"/>
      <c r="E547" s="18" t="n"/>
      <c r="F547" s="19">
        <f>IF(OR($B547="",$E547=""),"",IFERROR(IF(AND(INDEX('Intervals'!$G$4:$G$33,MATCH($B547,'Intervals'!$A$4:$A$33,0))&lt;&gt;"No",N(INDEX('Intervals'!$C$4:$C$33,MATCH($B547,'Intervals'!$A$4:$A$33,0)))&gt;0),$E547+N(INDEX('Intervals'!$C$4:$C$33,MATCH($B547,'Intervals'!$A$4:$A$33,0))),""),""))</f>
        <v/>
      </c>
      <c r="G547" s="20">
        <f>IF(OR($B547="",$D547=""),"",IFERROR(IF(AND(INDEX('Intervals'!$G$4:$G$33,MATCH($B547,'Intervals'!$A$4:$A$33,0))&lt;&gt;"No",N(INDEX('Intervals'!$D$4:$D$33,MATCH($B547,'Intervals'!$A$4:$A$33,0)))&gt;0),EDATE($D547,N(INDEX('Intervals'!$D$4:$D$33,MATCH($B547,'Intervals'!$A$4:$A$33,0)))),""),""))</f>
        <v/>
      </c>
      <c r="H547" s="19">
        <f>IF($A547="","",IFERROR(IF(N(INDEX('Cars'!$H$4:$H$103,MATCH($A547,'Cars'!$A$4:$A$103,0)))&gt;0,INDEX('Cars'!$H$4:$H$103,MATCH($A547,'Cars'!$A$4:$A$103,0)),""),""))</f>
        <v/>
      </c>
      <c r="I547" s="19">
        <f>IF(OR($F547="",$H547=""),"",$F547-$H547)</f>
        <v/>
      </c>
      <c r="J547" s="21">
        <f>IF($G547="","",$G547-TODAY())</f>
        <v/>
      </c>
      <c r="K547" s="21">
        <f>IF($I547="","",IFERROR(IF(N(INDEX('Cars'!$J$4:$J$103,MATCH($A547,'Cars'!$A$4:$A$103,0)))&gt;0,ROUND($I547/INDEX('Cars'!$J$4:$J$103,MATCH($A547,'Cars'!$A$4:$A$103,0))*30,0),""),""))</f>
        <v/>
      </c>
      <c r="L547" s="21">
        <f>IF(AND($J547="",$K547=""),"",MIN(IF($J547="",99999,$J547),IF($K547="",99999,$K547)))</f>
        <v/>
      </c>
      <c r="M547" s="16">
        <f>IF(AND($I547="",$J547=""),"",IF(OR(AND($I547&lt;&gt;"",N($I547)&lt;0),AND($J547&lt;&gt;"",N($J547)&lt;0)),"Overdue",IF(OR(AND($I547&lt;&gt;"",N($I547)&lt;=IFERROR(INDEX('Intervals'!$E$4:$E$33,MATCH($B547,'Intervals'!$A$4:$A$33,0)),500)),AND($J547&lt;&gt;"",N($J547)&lt;=IFERROR(INDEX('Intervals'!$F$4:$F$33,MATCH($B547,'Intervals'!$A$4:$A$33,0)),14))),"Due soon","OK")))</f>
        <v/>
      </c>
      <c r="N547" s="15" t="n"/>
      <c r="O547" s="22">
        <f>IF(OR($M547="",$M547="OK"),"",$L547+ROW()/100000)</f>
        <v/>
      </c>
    </row>
    <row r="548">
      <c r="A548" s="15" t="n"/>
      <c r="B548" s="15" t="n"/>
      <c r="C548" s="16">
        <f>IF($B548="","",IFERROR(INDEX('Intervals'!$B$4:$B$33,MATCH($B548,'Intervals'!$A$4:$A$33,0)),""))</f>
        <v/>
      </c>
      <c r="D548" s="17" t="n"/>
      <c r="E548" s="18" t="n"/>
      <c r="F548" s="19">
        <f>IF(OR($B548="",$E548=""),"",IFERROR(IF(AND(INDEX('Intervals'!$G$4:$G$33,MATCH($B548,'Intervals'!$A$4:$A$33,0))&lt;&gt;"No",N(INDEX('Intervals'!$C$4:$C$33,MATCH($B548,'Intervals'!$A$4:$A$33,0)))&gt;0),$E548+N(INDEX('Intervals'!$C$4:$C$33,MATCH($B548,'Intervals'!$A$4:$A$33,0))),""),""))</f>
        <v/>
      </c>
      <c r="G548" s="20">
        <f>IF(OR($B548="",$D548=""),"",IFERROR(IF(AND(INDEX('Intervals'!$G$4:$G$33,MATCH($B548,'Intervals'!$A$4:$A$33,0))&lt;&gt;"No",N(INDEX('Intervals'!$D$4:$D$33,MATCH($B548,'Intervals'!$A$4:$A$33,0)))&gt;0),EDATE($D548,N(INDEX('Intervals'!$D$4:$D$33,MATCH($B548,'Intervals'!$A$4:$A$33,0)))),""),""))</f>
        <v/>
      </c>
      <c r="H548" s="19">
        <f>IF($A548="","",IFERROR(IF(N(INDEX('Cars'!$H$4:$H$103,MATCH($A548,'Cars'!$A$4:$A$103,0)))&gt;0,INDEX('Cars'!$H$4:$H$103,MATCH($A548,'Cars'!$A$4:$A$103,0)),""),""))</f>
        <v/>
      </c>
      <c r="I548" s="19">
        <f>IF(OR($F548="",$H548=""),"",$F548-$H548)</f>
        <v/>
      </c>
      <c r="J548" s="21">
        <f>IF($G548="","",$G548-TODAY())</f>
        <v/>
      </c>
      <c r="K548" s="21">
        <f>IF($I548="","",IFERROR(IF(N(INDEX('Cars'!$J$4:$J$103,MATCH($A548,'Cars'!$A$4:$A$103,0)))&gt;0,ROUND($I548/INDEX('Cars'!$J$4:$J$103,MATCH($A548,'Cars'!$A$4:$A$103,0))*30,0),""),""))</f>
        <v/>
      </c>
      <c r="L548" s="21">
        <f>IF(AND($J548="",$K548=""),"",MIN(IF($J548="",99999,$J548),IF($K548="",99999,$K548)))</f>
        <v/>
      </c>
      <c r="M548" s="16">
        <f>IF(AND($I548="",$J548=""),"",IF(OR(AND($I548&lt;&gt;"",N($I548)&lt;0),AND($J548&lt;&gt;"",N($J548)&lt;0)),"Overdue",IF(OR(AND($I548&lt;&gt;"",N($I548)&lt;=IFERROR(INDEX('Intervals'!$E$4:$E$33,MATCH($B548,'Intervals'!$A$4:$A$33,0)),500)),AND($J548&lt;&gt;"",N($J548)&lt;=IFERROR(INDEX('Intervals'!$F$4:$F$33,MATCH($B548,'Intervals'!$A$4:$A$33,0)),14))),"Due soon","OK")))</f>
        <v/>
      </c>
      <c r="N548" s="15" t="n"/>
      <c r="O548" s="22">
        <f>IF(OR($M548="",$M548="OK"),"",$L548+ROW()/100000)</f>
        <v/>
      </c>
    </row>
    <row r="549">
      <c r="A549" s="15" t="n"/>
      <c r="B549" s="15" t="n"/>
      <c r="C549" s="16">
        <f>IF($B549="","",IFERROR(INDEX('Intervals'!$B$4:$B$33,MATCH($B549,'Intervals'!$A$4:$A$33,0)),""))</f>
        <v/>
      </c>
      <c r="D549" s="17" t="n"/>
      <c r="E549" s="18" t="n"/>
      <c r="F549" s="19">
        <f>IF(OR($B549="",$E549=""),"",IFERROR(IF(AND(INDEX('Intervals'!$G$4:$G$33,MATCH($B549,'Intervals'!$A$4:$A$33,0))&lt;&gt;"No",N(INDEX('Intervals'!$C$4:$C$33,MATCH($B549,'Intervals'!$A$4:$A$33,0)))&gt;0),$E549+N(INDEX('Intervals'!$C$4:$C$33,MATCH($B549,'Intervals'!$A$4:$A$33,0))),""),""))</f>
        <v/>
      </c>
      <c r="G549" s="20">
        <f>IF(OR($B549="",$D549=""),"",IFERROR(IF(AND(INDEX('Intervals'!$G$4:$G$33,MATCH($B549,'Intervals'!$A$4:$A$33,0))&lt;&gt;"No",N(INDEX('Intervals'!$D$4:$D$33,MATCH($B549,'Intervals'!$A$4:$A$33,0)))&gt;0),EDATE($D549,N(INDEX('Intervals'!$D$4:$D$33,MATCH($B549,'Intervals'!$A$4:$A$33,0)))),""),""))</f>
        <v/>
      </c>
      <c r="H549" s="19">
        <f>IF($A549="","",IFERROR(IF(N(INDEX('Cars'!$H$4:$H$103,MATCH($A549,'Cars'!$A$4:$A$103,0)))&gt;0,INDEX('Cars'!$H$4:$H$103,MATCH($A549,'Cars'!$A$4:$A$103,0)),""),""))</f>
        <v/>
      </c>
      <c r="I549" s="19">
        <f>IF(OR($F549="",$H549=""),"",$F549-$H549)</f>
        <v/>
      </c>
      <c r="J549" s="21">
        <f>IF($G549="","",$G549-TODAY())</f>
        <v/>
      </c>
      <c r="K549" s="21">
        <f>IF($I549="","",IFERROR(IF(N(INDEX('Cars'!$J$4:$J$103,MATCH($A549,'Cars'!$A$4:$A$103,0)))&gt;0,ROUND($I549/INDEX('Cars'!$J$4:$J$103,MATCH($A549,'Cars'!$A$4:$A$103,0))*30,0),""),""))</f>
        <v/>
      </c>
      <c r="L549" s="21">
        <f>IF(AND($J549="",$K549=""),"",MIN(IF($J549="",99999,$J549),IF($K549="",99999,$K549)))</f>
        <v/>
      </c>
      <c r="M549" s="16">
        <f>IF(AND($I549="",$J549=""),"",IF(OR(AND($I549&lt;&gt;"",N($I549)&lt;0),AND($J549&lt;&gt;"",N($J549)&lt;0)),"Overdue",IF(OR(AND($I549&lt;&gt;"",N($I549)&lt;=IFERROR(INDEX('Intervals'!$E$4:$E$33,MATCH($B549,'Intervals'!$A$4:$A$33,0)),500)),AND($J549&lt;&gt;"",N($J549)&lt;=IFERROR(INDEX('Intervals'!$F$4:$F$33,MATCH($B549,'Intervals'!$A$4:$A$33,0)),14))),"Due soon","OK")))</f>
        <v/>
      </c>
      <c r="N549" s="15" t="n"/>
      <c r="O549" s="22">
        <f>IF(OR($M549="",$M549="OK"),"",$L549+ROW()/100000)</f>
        <v/>
      </c>
    </row>
    <row r="550">
      <c r="A550" s="15" t="n"/>
      <c r="B550" s="15" t="n"/>
      <c r="C550" s="16">
        <f>IF($B550="","",IFERROR(INDEX('Intervals'!$B$4:$B$33,MATCH($B550,'Intervals'!$A$4:$A$33,0)),""))</f>
        <v/>
      </c>
      <c r="D550" s="17" t="n"/>
      <c r="E550" s="18" t="n"/>
      <c r="F550" s="19">
        <f>IF(OR($B550="",$E550=""),"",IFERROR(IF(AND(INDEX('Intervals'!$G$4:$G$33,MATCH($B550,'Intervals'!$A$4:$A$33,0))&lt;&gt;"No",N(INDEX('Intervals'!$C$4:$C$33,MATCH($B550,'Intervals'!$A$4:$A$33,0)))&gt;0),$E550+N(INDEX('Intervals'!$C$4:$C$33,MATCH($B550,'Intervals'!$A$4:$A$33,0))),""),""))</f>
        <v/>
      </c>
      <c r="G550" s="20">
        <f>IF(OR($B550="",$D550=""),"",IFERROR(IF(AND(INDEX('Intervals'!$G$4:$G$33,MATCH($B550,'Intervals'!$A$4:$A$33,0))&lt;&gt;"No",N(INDEX('Intervals'!$D$4:$D$33,MATCH($B550,'Intervals'!$A$4:$A$33,0)))&gt;0),EDATE($D550,N(INDEX('Intervals'!$D$4:$D$33,MATCH($B550,'Intervals'!$A$4:$A$33,0)))),""),""))</f>
        <v/>
      </c>
      <c r="H550" s="19">
        <f>IF($A550="","",IFERROR(IF(N(INDEX('Cars'!$H$4:$H$103,MATCH($A550,'Cars'!$A$4:$A$103,0)))&gt;0,INDEX('Cars'!$H$4:$H$103,MATCH($A550,'Cars'!$A$4:$A$103,0)),""),""))</f>
        <v/>
      </c>
      <c r="I550" s="19">
        <f>IF(OR($F550="",$H550=""),"",$F550-$H550)</f>
        <v/>
      </c>
      <c r="J550" s="21">
        <f>IF($G550="","",$G550-TODAY())</f>
        <v/>
      </c>
      <c r="K550" s="21">
        <f>IF($I550="","",IFERROR(IF(N(INDEX('Cars'!$J$4:$J$103,MATCH($A550,'Cars'!$A$4:$A$103,0)))&gt;0,ROUND($I550/INDEX('Cars'!$J$4:$J$103,MATCH($A550,'Cars'!$A$4:$A$103,0))*30,0),""),""))</f>
        <v/>
      </c>
      <c r="L550" s="21">
        <f>IF(AND($J550="",$K550=""),"",MIN(IF($J550="",99999,$J550),IF($K550="",99999,$K550)))</f>
        <v/>
      </c>
      <c r="M550" s="16">
        <f>IF(AND($I550="",$J550=""),"",IF(OR(AND($I550&lt;&gt;"",N($I550)&lt;0),AND($J550&lt;&gt;"",N($J550)&lt;0)),"Overdue",IF(OR(AND($I550&lt;&gt;"",N($I550)&lt;=IFERROR(INDEX('Intervals'!$E$4:$E$33,MATCH($B550,'Intervals'!$A$4:$A$33,0)),500)),AND($J550&lt;&gt;"",N($J550)&lt;=IFERROR(INDEX('Intervals'!$F$4:$F$33,MATCH($B550,'Intervals'!$A$4:$A$33,0)),14))),"Due soon","OK")))</f>
        <v/>
      </c>
      <c r="N550" s="15" t="n"/>
      <c r="O550" s="22">
        <f>IF(OR($M550="",$M550="OK"),"",$L550+ROW()/100000)</f>
        <v/>
      </c>
    </row>
    <row r="551">
      <c r="A551" s="15" t="n"/>
      <c r="B551" s="15" t="n"/>
      <c r="C551" s="16">
        <f>IF($B551="","",IFERROR(INDEX('Intervals'!$B$4:$B$33,MATCH($B551,'Intervals'!$A$4:$A$33,0)),""))</f>
        <v/>
      </c>
      <c r="D551" s="17" t="n"/>
      <c r="E551" s="18" t="n"/>
      <c r="F551" s="19">
        <f>IF(OR($B551="",$E551=""),"",IFERROR(IF(AND(INDEX('Intervals'!$G$4:$G$33,MATCH($B551,'Intervals'!$A$4:$A$33,0))&lt;&gt;"No",N(INDEX('Intervals'!$C$4:$C$33,MATCH($B551,'Intervals'!$A$4:$A$33,0)))&gt;0),$E551+N(INDEX('Intervals'!$C$4:$C$33,MATCH($B551,'Intervals'!$A$4:$A$33,0))),""),""))</f>
        <v/>
      </c>
      <c r="G551" s="20">
        <f>IF(OR($B551="",$D551=""),"",IFERROR(IF(AND(INDEX('Intervals'!$G$4:$G$33,MATCH($B551,'Intervals'!$A$4:$A$33,0))&lt;&gt;"No",N(INDEX('Intervals'!$D$4:$D$33,MATCH($B551,'Intervals'!$A$4:$A$33,0)))&gt;0),EDATE($D551,N(INDEX('Intervals'!$D$4:$D$33,MATCH($B551,'Intervals'!$A$4:$A$33,0)))),""),""))</f>
        <v/>
      </c>
      <c r="H551" s="19">
        <f>IF($A551="","",IFERROR(IF(N(INDEX('Cars'!$H$4:$H$103,MATCH($A551,'Cars'!$A$4:$A$103,0)))&gt;0,INDEX('Cars'!$H$4:$H$103,MATCH($A551,'Cars'!$A$4:$A$103,0)),""),""))</f>
        <v/>
      </c>
      <c r="I551" s="19">
        <f>IF(OR($F551="",$H551=""),"",$F551-$H551)</f>
        <v/>
      </c>
      <c r="J551" s="21">
        <f>IF($G551="","",$G551-TODAY())</f>
        <v/>
      </c>
      <c r="K551" s="21">
        <f>IF($I551="","",IFERROR(IF(N(INDEX('Cars'!$J$4:$J$103,MATCH($A551,'Cars'!$A$4:$A$103,0)))&gt;0,ROUND($I551/INDEX('Cars'!$J$4:$J$103,MATCH($A551,'Cars'!$A$4:$A$103,0))*30,0),""),""))</f>
        <v/>
      </c>
      <c r="L551" s="21">
        <f>IF(AND($J551="",$K551=""),"",MIN(IF($J551="",99999,$J551),IF($K551="",99999,$K551)))</f>
        <v/>
      </c>
      <c r="M551" s="16">
        <f>IF(AND($I551="",$J551=""),"",IF(OR(AND($I551&lt;&gt;"",N($I551)&lt;0),AND($J551&lt;&gt;"",N($J551)&lt;0)),"Overdue",IF(OR(AND($I551&lt;&gt;"",N($I551)&lt;=IFERROR(INDEX('Intervals'!$E$4:$E$33,MATCH($B551,'Intervals'!$A$4:$A$33,0)),500)),AND($J551&lt;&gt;"",N($J551)&lt;=IFERROR(INDEX('Intervals'!$F$4:$F$33,MATCH($B551,'Intervals'!$A$4:$A$33,0)),14))),"Due soon","OK")))</f>
        <v/>
      </c>
      <c r="N551" s="15" t="n"/>
      <c r="O551" s="22">
        <f>IF(OR($M551="",$M551="OK"),"",$L551+ROW()/100000)</f>
        <v/>
      </c>
    </row>
    <row r="552">
      <c r="A552" s="15" t="n"/>
      <c r="B552" s="15" t="n"/>
      <c r="C552" s="16">
        <f>IF($B552="","",IFERROR(INDEX('Intervals'!$B$4:$B$33,MATCH($B552,'Intervals'!$A$4:$A$33,0)),""))</f>
        <v/>
      </c>
      <c r="D552" s="17" t="n"/>
      <c r="E552" s="18" t="n"/>
      <c r="F552" s="19">
        <f>IF(OR($B552="",$E552=""),"",IFERROR(IF(AND(INDEX('Intervals'!$G$4:$G$33,MATCH($B552,'Intervals'!$A$4:$A$33,0))&lt;&gt;"No",N(INDEX('Intervals'!$C$4:$C$33,MATCH($B552,'Intervals'!$A$4:$A$33,0)))&gt;0),$E552+N(INDEX('Intervals'!$C$4:$C$33,MATCH($B552,'Intervals'!$A$4:$A$33,0))),""),""))</f>
        <v/>
      </c>
      <c r="G552" s="20">
        <f>IF(OR($B552="",$D552=""),"",IFERROR(IF(AND(INDEX('Intervals'!$G$4:$G$33,MATCH($B552,'Intervals'!$A$4:$A$33,0))&lt;&gt;"No",N(INDEX('Intervals'!$D$4:$D$33,MATCH($B552,'Intervals'!$A$4:$A$33,0)))&gt;0),EDATE($D552,N(INDEX('Intervals'!$D$4:$D$33,MATCH($B552,'Intervals'!$A$4:$A$33,0)))),""),""))</f>
        <v/>
      </c>
      <c r="H552" s="19">
        <f>IF($A552="","",IFERROR(IF(N(INDEX('Cars'!$H$4:$H$103,MATCH($A552,'Cars'!$A$4:$A$103,0)))&gt;0,INDEX('Cars'!$H$4:$H$103,MATCH($A552,'Cars'!$A$4:$A$103,0)),""),""))</f>
        <v/>
      </c>
      <c r="I552" s="19">
        <f>IF(OR($F552="",$H552=""),"",$F552-$H552)</f>
        <v/>
      </c>
      <c r="J552" s="21">
        <f>IF($G552="","",$G552-TODAY())</f>
        <v/>
      </c>
      <c r="K552" s="21">
        <f>IF($I552="","",IFERROR(IF(N(INDEX('Cars'!$J$4:$J$103,MATCH($A552,'Cars'!$A$4:$A$103,0)))&gt;0,ROUND($I552/INDEX('Cars'!$J$4:$J$103,MATCH($A552,'Cars'!$A$4:$A$103,0))*30,0),""),""))</f>
        <v/>
      </c>
      <c r="L552" s="21">
        <f>IF(AND($J552="",$K552=""),"",MIN(IF($J552="",99999,$J552),IF($K552="",99999,$K552)))</f>
        <v/>
      </c>
      <c r="M552" s="16">
        <f>IF(AND($I552="",$J552=""),"",IF(OR(AND($I552&lt;&gt;"",N($I552)&lt;0),AND($J552&lt;&gt;"",N($J552)&lt;0)),"Overdue",IF(OR(AND($I552&lt;&gt;"",N($I552)&lt;=IFERROR(INDEX('Intervals'!$E$4:$E$33,MATCH($B552,'Intervals'!$A$4:$A$33,0)),500)),AND($J552&lt;&gt;"",N($J552)&lt;=IFERROR(INDEX('Intervals'!$F$4:$F$33,MATCH($B552,'Intervals'!$A$4:$A$33,0)),14))),"Due soon","OK")))</f>
        <v/>
      </c>
      <c r="N552" s="15" t="n"/>
      <c r="O552" s="22">
        <f>IF(OR($M552="",$M552="OK"),"",$L552+ROW()/100000)</f>
        <v/>
      </c>
    </row>
    <row r="553">
      <c r="A553" s="15" t="n"/>
      <c r="B553" s="15" t="n"/>
      <c r="C553" s="16">
        <f>IF($B553="","",IFERROR(INDEX('Intervals'!$B$4:$B$33,MATCH($B553,'Intervals'!$A$4:$A$33,0)),""))</f>
        <v/>
      </c>
      <c r="D553" s="17" t="n"/>
      <c r="E553" s="18" t="n"/>
      <c r="F553" s="19">
        <f>IF(OR($B553="",$E553=""),"",IFERROR(IF(AND(INDEX('Intervals'!$G$4:$G$33,MATCH($B553,'Intervals'!$A$4:$A$33,0))&lt;&gt;"No",N(INDEX('Intervals'!$C$4:$C$33,MATCH($B553,'Intervals'!$A$4:$A$33,0)))&gt;0),$E553+N(INDEX('Intervals'!$C$4:$C$33,MATCH($B553,'Intervals'!$A$4:$A$33,0))),""),""))</f>
        <v/>
      </c>
      <c r="G553" s="20">
        <f>IF(OR($B553="",$D553=""),"",IFERROR(IF(AND(INDEX('Intervals'!$G$4:$G$33,MATCH($B553,'Intervals'!$A$4:$A$33,0))&lt;&gt;"No",N(INDEX('Intervals'!$D$4:$D$33,MATCH($B553,'Intervals'!$A$4:$A$33,0)))&gt;0),EDATE($D553,N(INDEX('Intervals'!$D$4:$D$33,MATCH($B553,'Intervals'!$A$4:$A$33,0)))),""),""))</f>
        <v/>
      </c>
      <c r="H553" s="19">
        <f>IF($A553="","",IFERROR(IF(N(INDEX('Cars'!$H$4:$H$103,MATCH($A553,'Cars'!$A$4:$A$103,0)))&gt;0,INDEX('Cars'!$H$4:$H$103,MATCH($A553,'Cars'!$A$4:$A$103,0)),""),""))</f>
        <v/>
      </c>
      <c r="I553" s="19">
        <f>IF(OR($F553="",$H553=""),"",$F553-$H553)</f>
        <v/>
      </c>
      <c r="J553" s="21">
        <f>IF($G553="","",$G553-TODAY())</f>
        <v/>
      </c>
      <c r="K553" s="21">
        <f>IF($I553="","",IFERROR(IF(N(INDEX('Cars'!$J$4:$J$103,MATCH($A553,'Cars'!$A$4:$A$103,0)))&gt;0,ROUND($I553/INDEX('Cars'!$J$4:$J$103,MATCH($A553,'Cars'!$A$4:$A$103,0))*30,0),""),""))</f>
        <v/>
      </c>
      <c r="L553" s="21">
        <f>IF(AND($J553="",$K553=""),"",MIN(IF($J553="",99999,$J553),IF($K553="",99999,$K553)))</f>
        <v/>
      </c>
      <c r="M553" s="16">
        <f>IF(AND($I553="",$J553=""),"",IF(OR(AND($I553&lt;&gt;"",N($I553)&lt;0),AND($J553&lt;&gt;"",N($J553)&lt;0)),"Overdue",IF(OR(AND($I553&lt;&gt;"",N($I553)&lt;=IFERROR(INDEX('Intervals'!$E$4:$E$33,MATCH($B553,'Intervals'!$A$4:$A$33,0)),500)),AND($J553&lt;&gt;"",N($J553)&lt;=IFERROR(INDEX('Intervals'!$F$4:$F$33,MATCH($B553,'Intervals'!$A$4:$A$33,0)),14))),"Due soon","OK")))</f>
        <v/>
      </c>
      <c r="N553" s="15" t="n"/>
      <c r="O553" s="22">
        <f>IF(OR($M553="",$M553="OK"),"",$L553+ROW()/100000)</f>
        <v/>
      </c>
    </row>
    <row r="554">
      <c r="A554" s="15" t="n"/>
      <c r="B554" s="15" t="n"/>
      <c r="C554" s="16">
        <f>IF($B554="","",IFERROR(INDEX('Intervals'!$B$4:$B$33,MATCH($B554,'Intervals'!$A$4:$A$33,0)),""))</f>
        <v/>
      </c>
      <c r="D554" s="17" t="n"/>
      <c r="E554" s="18" t="n"/>
      <c r="F554" s="19">
        <f>IF(OR($B554="",$E554=""),"",IFERROR(IF(AND(INDEX('Intervals'!$G$4:$G$33,MATCH($B554,'Intervals'!$A$4:$A$33,0))&lt;&gt;"No",N(INDEX('Intervals'!$C$4:$C$33,MATCH($B554,'Intervals'!$A$4:$A$33,0)))&gt;0),$E554+N(INDEX('Intervals'!$C$4:$C$33,MATCH($B554,'Intervals'!$A$4:$A$33,0))),""),""))</f>
        <v/>
      </c>
      <c r="G554" s="20">
        <f>IF(OR($B554="",$D554=""),"",IFERROR(IF(AND(INDEX('Intervals'!$G$4:$G$33,MATCH($B554,'Intervals'!$A$4:$A$33,0))&lt;&gt;"No",N(INDEX('Intervals'!$D$4:$D$33,MATCH($B554,'Intervals'!$A$4:$A$33,0)))&gt;0),EDATE($D554,N(INDEX('Intervals'!$D$4:$D$33,MATCH($B554,'Intervals'!$A$4:$A$33,0)))),""),""))</f>
        <v/>
      </c>
      <c r="H554" s="19">
        <f>IF($A554="","",IFERROR(IF(N(INDEX('Cars'!$H$4:$H$103,MATCH($A554,'Cars'!$A$4:$A$103,0)))&gt;0,INDEX('Cars'!$H$4:$H$103,MATCH($A554,'Cars'!$A$4:$A$103,0)),""),""))</f>
        <v/>
      </c>
      <c r="I554" s="19">
        <f>IF(OR($F554="",$H554=""),"",$F554-$H554)</f>
        <v/>
      </c>
      <c r="J554" s="21">
        <f>IF($G554="","",$G554-TODAY())</f>
        <v/>
      </c>
      <c r="K554" s="21">
        <f>IF($I554="","",IFERROR(IF(N(INDEX('Cars'!$J$4:$J$103,MATCH($A554,'Cars'!$A$4:$A$103,0)))&gt;0,ROUND($I554/INDEX('Cars'!$J$4:$J$103,MATCH($A554,'Cars'!$A$4:$A$103,0))*30,0),""),""))</f>
        <v/>
      </c>
      <c r="L554" s="21">
        <f>IF(AND($J554="",$K554=""),"",MIN(IF($J554="",99999,$J554),IF($K554="",99999,$K554)))</f>
        <v/>
      </c>
      <c r="M554" s="16">
        <f>IF(AND($I554="",$J554=""),"",IF(OR(AND($I554&lt;&gt;"",N($I554)&lt;0),AND($J554&lt;&gt;"",N($J554)&lt;0)),"Overdue",IF(OR(AND($I554&lt;&gt;"",N($I554)&lt;=IFERROR(INDEX('Intervals'!$E$4:$E$33,MATCH($B554,'Intervals'!$A$4:$A$33,0)),500)),AND($J554&lt;&gt;"",N($J554)&lt;=IFERROR(INDEX('Intervals'!$F$4:$F$33,MATCH($B554,'Intervals'!$A$4:$A$33,0)),14))),"Due soon","OK")))</f>
        <v/>
      </c>
      <c r="N554" s="15" t="n"/>
      <c r="O554" s="22">
        <f>IF(OR($M554="",$M554="OK"),"",$L554+ROW()/100000)</f>
        <v/>
      </c>
    </row>
    <row r="555">
      <c r="A555" s="15" t="n"/>
      <c r="B555" s="15" t="n"/>
      <c r="C555" s="16">
        <f>IF($B555="","",IFERROR(INDEX('Intervals'!$B$4:$B$33,MATCH($B555,'Intervals'!$A$4:$A$33,0)),""))</f>
        <v/>
      </c>
      <c r="D555" s="17" t="n"/>
      <c r="E555" s="18" t="n"/>
      <c r="F555" s="19">
        <f>IF(OR($B555="",$E555=""),"",IFERROR(IF(AND(INDEX('Intervals'!$G$4:$G$33,MATCH($B555,'Intervals'!$A$4:$A$33,0))&lt;&gt;"No",N(INDEX('Intervals'!$C$4:$C$33,MATCH($B555,'Intervals'!$A$4:$A$33,0)))&gt;0),$E555+N(INDEX('Intervals'!$C$4:$C$33,MATCH($B555,'Intervals'!$A$4:$A$33,0))),""),""))</f>
        <v/>
      </c>
      <c r="G555" s="20">
        <f>IF(OR($B555="",$D555=""),"",IFERROR(IF(AND(INDEX('Intervals'!$G$4:$G$33,MATCH($B555,'Intervals'!$A$4:$A$33,0))&lt;&gt;"No",N(INDEX('Intervals'!$D$4:$D$33,MATCH($B555,'Intervals'!$A$4:$A$33,0)))&gt;0),EDATE($D555,N(INDEX('Intervals'!$D$4:$D$33,MATCH($B555,'Intervals'!$A$4:$A$33,0)))),""),""))</f>
        <v/>
      </c>
      <c r="H555" s="19">
        <f>IF($A555="","",IFERROR(IF(N(INDEX('Cars'!$H$4:$H$103,MATCH($A555,'Cars'!$A$4:$A$103,0)))&gt;0,INDEX('Cars'!$H$4:$H$103,MATCH($A555,'Cars'!$A$4:$A$103,0)),""),""))</f>
        <v/>
      </c>
      <c r="I555" s="19">
        <f>IF(OR($F555="",$H555=""),"",$F555-$H555)</f>
        <v/>
      </c>
      <c r="J555" s="21">
        <f>IF($G555="","",$G555-TODAY())</f>
        <v/>
      </c>
      <c r="K555" s="21">
        <f>IF($I555="","",IFERROR(IF(N(INDEX('Cars'!$J$4:$J$103,MATCH($A555,'Cars'!$A$4:$A$103,0)))&gt;0,ROUND($I555/INDEX('Cars'!$J$4:$J$103,MATCH($A555,'Cars'!$A$4:$A$103,0))*30,0),""),""))</f>
        <v/>
      </c>
      <c r="L555" s="21">
        <f>IF(AND($J555="",$K555=""),"",MIN(IF($J555="",99999,$J555),IF($K555="",99999,$K555)))</f>
        <v/>
      </c>
      <c r="M555" s="16">
        <f>IF(AND($I555="",$J555=""),"",IF(OR(AND($I555&lt;&gt;"",N($I555)&lt;0),AND($J555&lt;&gt;"",N($J555)&lt;0)),"Overdue",IF(OR(AND($I555&lt;&gt;"",N($I555)&lt;=IFERROR(INDEX('Intervals'!$E$4:$E$33,MATCH($B555,'Intervals'!$A$4:$A$33,0)),500)),AND($J555&lt;&gt;"",N($J555)&lt;=IFERROR(INDEX('Intervals'!$F$4:$F$33,MATCH($B555,'Intervals'!$A$4:$A$33,0)),14))),"Due soon","OK")))</f>
        <v/>
      </c>
      <c r="N555" s="15" t="n"/>
      <c r="O555" s="22">
        <f>IF(OR($M555="",$M555="OK"),"",$L555+ROW()/100000)</f>
        <v/>
      </c>
    </row>
    <row r="556">
      <c r="A556" s="15" t="n"/>
      <c r="B556" s="15" t="n"/>
      <c r="C556" s="16">
        <f>IF($B556="","",IFERROR(INDEX('Intervals'!$B$4:$B$33,MATCH($B556,'Intervals'!$A$4:$A$33,0)),""))</f>
        <v/>
      </c>
      <c r="D556" s="17" t="n"/>
      <c r="E556" s="18" t="n"/>
      <c r="F556" s="19">
        <f>IF(OR($B556="",$E556=""),"",IFERROR(IF(AND(INDEX('Intervals'!$G$4:$G$33,MATCH($B556,'Intervals'!$A$4:$A$33,0))&lt;&gt;"No",N(INDEX('Intervals'!$C$4:$C$33,MATCH($B556,'Intervals'!$A$4:$A$33,0)))&gt;0),$E556+N(INDEX('Intervals'!$C$4:$C$33,MATCH($B556,'Intervals'!$A$4:$A$33,0))),""),""))</f>
        <v/>
      </c>
      <c r="G556" s="20">
        <f>IF(OR($B556="",$D556=""),"",IFERROR(IF(AND(INDEX('Intervals'!$G$4:$G$33,MATCH($B556,'Intervals'!$A$4:$A$33,0))&lt;&gt;"No",N(INDEX('Intervals'!$D$4:$D$33,MATCH($B556,'Intervals'!$A$4:$A$33,0)))&gt;0),EDATE($D556,N(INDEX('Intervals'!$D$4:$D$33,MATCH($B556,'Intervals'!$A$4:$A$33,0)))),""),""))</f>
        <v/>
      </c>
      <c r="H556" s="19">
        <f>IF($A556="","",IFERROR(IF(N(INDEX('Cars'!$H$4:$H$103,MATCH($A556,'Cars'!$A$4:$A$103,0)))&gt;0,INDEX('Cars'!$H$4:$H$103,MATCH($A556,'Cars'!$A$4:$A$103,0)),""),""))</f>
        <v/>
      </c>
      <c r="I556" s="19">
        <f>IF(OR($F556="",$H556=""),"",$F556-$H556)</f>
        <v/>
      </c>
      <c r="J556" s="21">
        <f>IF($G556="","",$G556-TODAY())</f>
        <v/>
      </c>
      <c r="K556" s="21">
        <f>IF($I556="","",IFERROR(IF(N(INDEX('Cars'!$J$4:$J$103,MATCH($A556,'Cars'!$A$4:$A$103,0)))&gt;0,ROUND($I556/INDEX('Cars'!$J$4:$J$103,MATCH($A556,'Cars'!$A$4:$A$103,0))*30,0),""),""))</f>
        <v/>
      </c>
      <c r="L556" s="21">
        <f>IF(AND($J556="",$K556=""),"",MIN(IF($J556="",99999,$J556),IF($K556="",99999,$K556)))</f>
        <v/>
      </c>
      <c r="M556" s="16">
        <f>IF(AND($I556="",$J556=""),"",IF(OR(AND($I556&lt;&gt;"",N($I556)&lt;0),AND($J556&lt;&gt;"",N($J556)&lt;0)),"Overdue",IF(OR(AND($I556&lt;&gt;"",N($I556)&lt;=IFERROR(INDEX('Intervals'!$E$4:$E$33,MATCH($B556,'Intervals'!$A$4:$A$33,0)),500)),AND($J556&lt;&gt;"",N($J556)&lt;=IFERROR(INDEX('Intervals'!$F$4:$F$33,MATCH($B556,'Intervals'!$A$4:$A$33,0)),14))),"Due soon","OK")))</f>
        <v/>
      </c>
      <c r="N556" s="15" t="n"/>
      <c r="O556" s="22">
        <f>IF(OR($M556="",$M556="OK"),"",$L556+ROW()/100000)</f>
        <v/>
      </c>
    </row>
    <row r="557">
      <c r="A557" s="15" t="n"/>
      <c r="B557" s="15" t="n"/>
      <c r="C557" s="16">
        <f>IF($B557="","",IFERROR(INDEX('Intervals'!$B$4:$B$33,MATCH($B557,'Intervals'!$A$4:$A$33,0)),""))</f>
        <v/>
      </c>
      <c r="D557" s="17" t="n"/>
      <c r="E557" s="18" t="n"/>
      <c r="F557" s="19">
        <f>IF(OR($B557="",$E557=""),"",IFERROR(IF(AND(INDEX('Intervals'!$G$4:$G$33,MATCH($B557,'Intervals'!$A$4:$A$33,0))&lt;&gt;"No",N(INDEX('Intervals'!$C$4:$C$33,MATCH($B557,'Intervals'!$A$4:$A$33,0)))&gt;0),$E557+N(INDEX('Intervals'!$C$4:$C$33,MATCH($B557,'Intervals'!$A$4:$A$33,0))),""),""))</f>
        <v/>
      </c>
      <c r="G557" s="20">
        <f>IF(OR($B557="",$D557=""),"",IFERROR(IF(AND(INDEX('Intervals'!$G$4:$G$33,MATCH($B557,'Intervals'!$A$4:$A$33,0))&lt;&gt;"No",N(INDEX('Intervals'!$D$4:$D$33,MATCH($B557,'Intervals'!$A$4:$A$33,0)))&gt;0),EDATE($D557,N(INDEX('Intervals'!$D$4:$D$33,MATCH($B557,'Intervals'!$A$4:$A$33,0)))),""),""))</f>
        <v/>
      </c>
      <c r="H557" s="19">
        <f>IF($A557="","",IFERROR(IF(N(INDEX('Cars'!$H$4:$H$103,MATCH($A557,'Cars'!$A$4:$A$103,0)))&gt;0,INDEX('Cars'!$H$4:$H$103,MATCH($A557,'Cars'!$A$4:$A$103,0)),""),""))</f>
        <v/>
      </c>
      <c r="I557" s="19">
        <f>IF(OR($F557="",$H557=""),"",$F557-$H557)</f>
        <v/>
      </c>
      <c r="J557" s="21">
        <f>IF($G557="","",$G557-TODAY())</f>
        <v/>
      </c>
      <c r="K557" s="21">
        <f>IF($I557="","",IFERROR(IF(N(INDEX('Cars'!$J$4:$J$103,MATCH($A557,'Cars'!$A$4:$A$103,0)))&gt;0,ROUND($I557/INDEX('Cars'!$J$4:$J$103,MATCH($A557,'Cars'!$A$4:$A$103,0))*30,0),""),""))</f>
        <v/>
      </c>
      <c r="L557" s="21">
        <f>IF(AND($J557="",$K557=""),"",MIN(IF($J557="",99999,$J557),IF($K557="",99999,$K557)))</f>
        <v/>
      </c>
      <c r="M557" s="16">
        <f>IF(AND($I557="",$J557=""),"",IF(OR(AND($I557&lt;&gt;"",N($I557)&lt;0),AND($J557&lt;&gt;"",N($J557)&lt;0)),"Overdue",IF(OR(AND($I557&lt;&gt;"",N($I557)&lt;=IFERROR(INDEX('Intervals'!$E$4:$E$33,MATCH($B557,'Intervals'!$A$4:$A$33,0)),500)),AND($J557&lt;&gt;"",N($J557)&lt;=IFERROR(INDEX('Intervals'!$F$4:$F$33,MATCH($B557,'Intervals'!$A$4:$A$33,0)),14))),"Due soon","OK")))</f>
        <v/>
      </c>
      <c r="N557" s="15" t="n"/>
      <c r="O557" s="22">
        <f>IF(OR($M557="",$M557="OK"),"",$L557+ROW()/100000)</f>
        <v/>
      </c>
    </row>
    <row r="558">
      <c r="A558" s="15" t="n"/>
      <c r="B558" s="15" t="n"/>
      <c r="C558" s="16">
        <f>IF($B558="","",IFERROR(INDEX('Intervals'!$B$4:$B$33,MATCH($B558,'Intervals'!$A$4:$A$33,0)),""))</f>
        <v/>
      </c>
      <c r="D558" s="17" t="n"/>
      <c r="E558" s="18" t="n"/>
      <c r="F558" s="19">
        <f>IF(OR($B558="",$E558=""),"",IFERROR(IF(AND(INDEX('Intervals'!$G$4:$G$33,MATCH($B558,'Intervals'!$A$4:$A$33,0))&lt;&gt;"No",N(INDEX('Intervals'!$C$4:$C$33,MATCH($B558,'Intervals'!$A$4:$A$33,0)))&gt;0),$E558+N(INDEX('Intervals'!$C$4:$C$33,MATCH($B558,'Intervals'!$A$4:$A$33,0))),""),""))</f>
        <v/>
      </c>
      <c r="G558" s="20">
        <f>IF(OR($B558="",$D558=""),"",IFERROR(IF(AND(INDEX('Intervals'!$G$4:$G$33,MATCH($B558,'Intervals'!$A$4:$A$33,0))&lt;&gt;"No",N(INDEX('Intervals'!$D$4:$D$33,MATCH($B558,'Intervals'!$A$4:$A$33,0)))&gt;0),EDATE($D558,N(INDEX('Intervals'!$D$4:$D$33,MATCH($B558,'Intervals'!$A$4:$A$33,0)))),""),""))</f>
        <v/>
      </c>
      <c r="H558" s="19">
        <f>IF($A558="","",IFERROR(IF(N(INDEX('Cars'!$H$4:$H$103,MATCH($A558,'Cars'!$A$4:$A$103,0)))&gt;0,INDEX('Cars'!$H$4:$H$103,MATCH($A558,'Cars'!$A$4:$A$103,0)),""),""))</f>
        <v/>
      </c>
      <c r="I558" s="19">
        <f>IF(OR($F558="",$H558=""),"",$F558-$H558)</f>
        <v/>
      </c>
      <c r="J558" s="21">
        <f>IF($G558="","",$G558-TODAY())</f>
        <v/>
      </c>
      <c r="K558" s="21">
        <f>IF($I558="","",IFERROR(IF(N(INDEX('Cars'!$J$4:$J$103,MATCH($A558,'Cars'!$A$4:$A$103,0)))&gt;0,ROUND($I558/INDEX('Cars'!$J$4:$J$103,MATCH($A558,'Cars'!$A$4:$A$103,0))*30,0),""),""))</f>
        <v/>
      </c>
      <c r="L558" s="21">
        <f>IF(AND($J558="",$K558=""),"",MIN(IF($J558="",99999,$J558),IF($K558="",99999,$K558)))</f>
        <v/>
      </c>
      <c r="M558" s="16">
        <f>IF(AND($I558="",$J558=""),"",IF(OR(AND($I558&lt;&gt;"",N($I558)&lt;0),AND($J558&lt;&gt;"",N($J558)&lt;0)),"Overdue",IF(OR(AND($I558&lt;&gt;"",N($I558)&lt;=IFERROR(INDEX('Intervals'!$E$4:$E$33,MATCH($B558,'Intervals'!$A$4:$A$33,0)),500)),AND($J558&lt;&gt;"",N($J558)&lt;=IFERROR(INDEX('Intervals'!$F$4:$F$33,MATCH($B558,'Intervals'!$A$4:$A$33,0)),14))),"Due soon","OK")))</f>
        <v/>
      </c>
      <c r="N558" s="15" t="n"/>
      <c r="O558" s="22">
        <f>IF(OR($M558="",$M558="OK"),"",$L558+ROW()/100000)</f>
        <v/>
      </c>
    </row>
    <row r="559">
      <c r="A559" s="15" t="n"/>
      <c r="B559" s="15" t="n"/>
      <c r="C559" s="16">
        <f>IF($B559="","",IFERROR(INDEX('Intervals'!$B$4:$B$33,MATCH($B559,'Intervals'!$A$4:$A$33,0)),""))</f>
        <v/>
      </c>
      <c r="D559" s="17" t="n"/>
      <c r="E559" s="18" t="n"/>
      <c r="F559" s="19">
        <f>IF(OR($B559="",$E559=""),"",IFERROR(IF(AND(INDEX('Intervals'!$G$4:$G$33,MATCH($B559,'Intervals'!$A$4:$A$33,0))&lt;&gt;"No",N(INDEX('Intervals'!$C$4:$C$33,MATCH($B559,'Intervals'!$A$4:$A$33,0)))&gt;0),$E559+N(INDEX('Intervals'!$C$4:$C$33,MATCH($B559,'Intervals'!$A$4:$A$33,0))),""),""))</f>
        <v/>
      </c>
      <c r="G559" s="20">
        <f>IF(OR($B559="",$D559=""),"",IFERROR(IF(AND(INDEX('Intervals'!$G$4:$G$33,MATCH($B559,'Intervals'!$A$4:$A$33,0))&lt;&gt;"No",N(INDEX('Intervals'!$D$4:$D$33,MATCH($B559,'Intervals'!$A$4:$A$33,0)))&gt;0),EDATE($D559,N(INDEX('Intervals'!$D$4:$D$33,MATCH($B559,'Intervals'!$A$4:$A$33,0)))),""),""))</f>
        <v/>
      </c>
      <c r="H559" s="19">
        <f>IF($A559="","",IFERROR(IF(N(INDEX('Cars'!$H$4:$H$103,MATCH($A559,'Cars'!$A$4:$A$103,0)))&gt;0,INDEX('Cars'!$H$4:$H$103,MATCH($A559,'Cars'!$A$4:$A$103,0)),""),""))</f>
        <v/>
      </c>
      <c r="I559" s="19">
        <f>IF(OR($F559="",$H559=""),"",$F559-$H559)</f>
        <v/>
      </c>
      <c r="J559" s="21">
        <f>IF($G559="","",$G559-TODAY())</f>
        <v/>
      </c>
      <c r="K559" s="21">
        <f>IF($I559="","",IFERROR(IF(N(INDEX('Cars'!$J$4:$J$103,MATCH($A559,'Cars'!$A$4:$A$103,0)))&gt;0,ROUND($I559/INDEX('Cars'!$J$4:$J$103,MATCH($A559,'Cars'!$A$4:$A$103,0))*30,0),""),""))</f>
        <v/>
      </c>
      <c r="L559" s="21">
        <f>IF(AND($J559="",$K559=""),"",MIN(IF($J559="",99999,$J559),IF($K559="",99999,$K559)))</f>
        <v/>
      </c>
      <c r="M559" s="16">
        <f>IF(AND($I559="",$J559=""),"",IF(OR(AND($I559&lt;&gt;"",N($I559)&lt;0),AND($J559&lt;&gt;"",N($J559)&lt;0)),"Overdue",IF(OR(AND($I559&lt;&gt;"",N($I559)&lt;=IFERROR(INDEX('Intervals'!$E$4:$E$33,MATCH($B559,'Intervals'!$A$4:$A$33,0)),500)),AND($J559&lt;&gt;"",N($J559)&lt;=IFERROR(INDEX('Intervals'!$F$4:$F$33,MATCH($B559,'Intervals'!$A$4:$A$33,0)),14))),"Due soon","OK")))</f>
        <v/>
      </c>
      <c r="N559" s="15" t="n"/>
      <c r="O559" s="22">
        <f>IF(OR($M559="",$M559="OK"),"",$L559+ROW()/100000)</f>
        <v/>
      </c>
    </row>
    <row r="560">
      <c r="A560" s="15" t="n"/>
      <c r="B560" s="15" t="n"/>
      <c r="C560" s="16">
        <f>IF($B560="","",IFERROR(INDEX('Intervals'!$B$4:$B$33,MATCH($B560,'Intervals'!$A$4:$A$33,0)),""))</f>
        <v/>
      </c>
      <c r="D560" s="17" t="n"/>
      <c r="E560" s="18" t="n"/>
      <c r="F560" s="19">
        <f>IF(OR($B560="",$E560=""),"",IFERROR(IF(AND(INDEX('Intervals'!$G$4:$G$33,MATCH($B560,'Intervals'!$A$4:$A$33,0))&lt;&gt;"No",N(INDEX('Intervals'!$C$4:$C$33,MATCH($B560,'Intervals'!$A$4:$A$33,0)))&gt;0),$E560+N(INDEX('Intervals'!$C$4:$C$33,MATCH($B560,'Intervals'!$A$4:$A$33,0))),""),""))</f>
        <v/>
      </c>
      <c r="G560" s="20">
        <f>IF(OR($B560="",$D560=""),"",IFERROR(IF(AND(INDEX('Intervals'!$G$4:$G$33,MATCH($B560,'Intervals'!$A$4:$A$33,0))&lt;&gt;"No",N(INDEX('Intervals'!$D$4:$D$33,MATCH($B560,'Intervals'!$A$4:$A$33,0)))&gt;0),EDATE($D560,N(INDEX('Intervals'!$D$4:$D$33,MATCH($B560,'Intervals'!$A$4:$A$33,0)))),""),""))</f>
        <v/>
      </c>
      <c r="H560" s="19">
        <f>IF($A560="","",IFERROR(IF(N(INDEX('Cars'!$H$4:$H$103,MATCH($A560,'Cars'!$A$4:$A$103,0)))&gt;0,INDEX('Cars'!$H$4:$H$103,MATCH($A560,'Cars'!$A$4:$A$103,0)),""),""))</f>
        <v/>
      </c>
      <c r="I560" s="19">
        <f>IF(OR($F560="",$H560=""),"",$F560-$H560)</f>
        <v/>
      </c>
      <c r="J560" s="21">
        <f>IF($G560="","",$G560-TODAY())</f>
        <v/>
      </c>
      <c r="K560" s="21">
        <f>IF($I560="","",IFERROR(IF(N(INDEX('Cars'!$J$4:$J$103,MATCH($A560,'Cars'!$A$4:$A$103,0)))&gt;0,ROUND($I560/INDEX('Cars'!$J$4:$J$103,MATCH($A560,'Cars'!$A$4:$A$103,0))*30,0),""),""))</f>
        <v/>
      </c>
      <c r="L560" s="21">
        <f>IF(AND($J560="",$K560=""),"",MIN(IF($J560="",99999,$J560),IF($K560="",99999,$K560)))</f>
        <v/>
      </c>
      <c r="M560" s="16">
        <f>IF(AND($I560="",$J560=""),"",IF(OR(AND($I560&lt;&gt;"",N($I560)&lt;0),AND($J560&lt;&gt;"",N($J560)&lt;0)),"Overdue",IF(OR(AND($I560&lt;&gt;"",N($I560)&lt;=IFERROR(INDEX('Intervals'!$E$4:$E$33,MATCH($B560,'Intervals'!$A$4:$A$33,0)),500)),AND($J560&lt;&gt;"",N($J560)&lt;=IFERROR(INDEX('Intervals'!$F$4:$F$33,MATCH($B560,'Intervals'!$A$4:$A$33,0)),14))),"Due soon","OK")))</f>
        <v/>
      </c>
      <c r="N560" s="15" t="n"/>
      <c r="O560" s="22">
        <f>IF(OR($M560="",$M560="OK"),"",$L560+ROW()/100000)</f>
        <v/>
      </c>
    </row>
    <row r="561">
      <c r="A561" s="15" t="n"/>
      <c r="B561" s="15" t="n"/>
      <c r="C561" s="16">
        <f>IF($B561="","",IFERROR(INDEX('Intervals'!$B$4:$B$33,MATCH($B561,'Intervals'!$A$4:$A$33,0)),""))</f>
        <v/>
      </c>
      <c r="D561" s="17" t="n"/>
      <c r="E561" s="18" t="n"/>
      <c r="F561" s="19">
        <f>IF(OR($B561="",$E561=""),"",IFERROR(IF(AND(INDEX('Intervals'!$G$4:$G$33,MATCH($B561,'Intervals'!$A$4:$A$33,0))&lt;&gt;"No",N(INDEX('Intervals'!$C$4:$C$33,MATCH($B561,'Intervals'!$A$4:$A$33,0)))&gt;0),$E561+N(INDEX('Intervals'!$C$4:$C$33,MATCH($B561,'Intervals'!$A$4:$A$33,0))),""),""))</f>
        <v/>
      </c>
      <c r="G561" s="20">
        <f>IF(OR($B561="",$D561=""),"",IFERROR(IF(AND(INDEX('Intervals'!$G$4:$G$33,MATCH($B561,'Intervals'!$A$4:$A$33,0))&lt;&gt;"No",N(INDEX('Intervals'!$D$4:$D$33,MATCH($B561,'Intervals'!$A$4:$A$33,0)))&gt;0),EDATE($D561,N(INDEX('Intervals'!$D$4:$D$33,MATCH($B561,'Intervals'!$A$4:$A$33,0)))),""),""))</f>
        <v/>
      </c>
      <c r="H561" s="19">
        <f>IF($A561="","",IFERROR(IF(N(INDEX('Cars'!$H$4:$H$103,MATCH($A561,'Cars'!$A$4:$A$103,0)))&gt;0,INDEX('Cars'!$H$4:$H$103,MATCH($A561,'Cars'!$A$4:$A$103,0)),""),""))</f>
        <v/>
      </c>
      <c r="I561" s="19">
        <f>IF(OR($F561="",$H561=""),"",$F561-$H561)</f>
        <v/>
      </c>
      <c r="J561" s="21">
        <f>IF($G561="","",$G561-TODAY())</f>
        <v/>
      </c>
      <c r="K561" s="21">
        <f>IF($I561="","",IFERROR(IF(N(INDEX('Cars'!$J$4:$J$103,MATCH($A561,'Cars'!$A$4:$A$103,0)))&gt;0,ROUND($I561/INDEX('Cars'!$J$4:$J$103,MATCH($A561,'Cars'!$A$4:$A$103,0))*30,0),""),""))</f>
        <v/>
      </c>
      <c r="L561" s="21">
        <f>IF(AND($J561="",$K561=""),"",MIN(IF($J561="",99999,$J561),IF($K561="",99999,$K561)))</f>
        <v/>
      </c>
      <c r="M561" s="16">
        <f>IF(AND($I561="",$J561=""),"",IF(OR(AND($I561&lt;&gt;"",N($I561)&lt;0),AND($J561&lt;&gt;"",N($J561)&lt;0)),"Overdue",IF(OR(AND($I561&lt;&gt;"",N($I561)&lt;=IFERROR(INDEX('Intervals'!$E$4:$E$33,MATCH($B561,'Intervals'!$A$4:$A$33,0)),500)),AND($J561&lt;&gt;"",N($J561)&lt;=IFERROR(INDEX('Intervals'!$F$4:$F$33,MATCH($B561,'Intervals'!$A$4:$A$33,0)),14))),"Due soon","OK")))</f>
        <v/>
      </c>
      <c r="N561" s="15" t="n"/>
      <c r="O561" s="22">
        <f>IF(OR($M561="",$M561="OK"),"",$L561+ROW()/100000)</f>
        <v/>
      </c>
    </row>
    <row r="562">
      <c r="A562" s="15" t="n"/>
      <c r="B562" s="15" t="n"/>
      <c r="C562" s="16">
        <f>IF($B562="","",IFERROR(INDEX('Intervals'!$B$4:$B$33,MATCH($B562,'Intervals'!$A$4:$A$33,0)),""))</f>
        <v/>
      </c>
      <c r="D562" s="17" t="n"/>
      <c r="E562" s="18" t="n"/>
      <c r="F562" s="19">
        <f>IF(OR($B562="",$E562=""),"",IFERROR(IF(AND(INDEX('Intervals'!$G$4:$G$33,MATCH($B562,'Intervals'!$A$4:$A$33,0))&lt;&gt;"No",N(INDEX('Intervals'!$C$4:$C$33,MATCH($B562,'Intervals'!$A$4:$A$33,0)))&gt;0),$E562+N(INDEX('Intervals'!$C$4:$C$33,MATCH($B562,'Intervals'!$A$4:$A$33,0))),""),""))</f>
        <v/>
      </c>
      <c r="G562" s="20">
        <f>IF(OR($B562="",$D562=""),"",IFERROR(IF(AND(INDEX('Intervals'!$G$4:$G$33,MATCH($B562,'Intervals'!$A$4:$A$33,0))&lt;&gt;"No",N(INDEX('Intervals'!$D$4:$D$33,MATCH($B562,'Intervals'!$A$4:$A$33,0)))&gt;0),EDATE($D562,N(INDEX('Intervals'!$D$4:$D$33,MATCH($B562,'Intervals'!$A$4:$A$33,0)))),""),""))</f>
        <v/>
      </c>
      <c r="H562" s="19">
        <f>IF($A562="","",IFERROR(IF(N(INDEX('Cars'!$H$4:$H$103,MATCH($A562,'Cars'!$A$4:$A$103,0)))&gt;0,INDEX('Cars'!$H$4:$H$103,MATCH($A562,'Cars'!$A$4:$A$103,0)),""),""))</f>
        <v/>
      </c>
      <c r="I562" s="19">
        <f>IF(OR($F562="",$H562=""),"",$F562-$H562)</f>
        <v/>
      </c>
      <c r="J562" s="21">
        <f>IF($G562="","",$G562-TODAY())</f>
        <v/>
      </c>
      <c r="K562" s="21">
        <f>IF($I562="","",IFERROR(IF(N(INDEX('Cars'!$J$4:$J$103,MATCH($A562,'Cars'!$A$4:$A$103,0)))&gt;0,ROUND($I562/INDEX('Cars'!$J$4:$J$103,MATCH($A562,'Cars'!$A$4:$A$103,0))*30,0),""),""))</f>
        <v/>
      </c>
      <c r="L562" s="21">
        <f>IF(AND($J562="",$K562=""),"",MIN(IF($J562="",99999,$J562),IF($K562="",99999,$K562)))</f>
        <v/>
      </c>
      <c r="M562" s="16">
        <f>IF(AND($I562="",$J562=""),"",IF(OR(AND($I562&lt;&gt;"",N($I562)&lt;0),AND($J562&lt;&gt;"",N($J562)&lt;0)),"Overdue",IF(OR(AND($I562&lt;&gt;"",N($I562)&lt;=IFERROR(INDEX('Intervals'!$E$4:$E$33,MATCH($B562,'Intervals'!$A$4:$A$33,0)),500)),AND($J562&lt;&gt;"",N($J562)&lt;=IFERROR(INDEX('Intervals'!$F$4:$F$33,MATCH($B562,'Intervals'!$A$4:$A$33,0)),14))),"Due soon","OK")))</f>
        <v/>
      </c>
      <c r="N562" s="15" t="n"/>
      <c r="O562" s="22">
        <f>IF(OR($M562="",$M562="OK"),"",$L562+ROW()/100000)</f>
        <v/>
      </c>
    </row>
    <row r="563">
      <c r="A563" s="15" t="n"/>
      <c r="B563" s="15" t="n"/>
      <c r="C563" s="16">
        <f>IF($B563="","",IFERROR(INDEX('Intervals'!$B$4:$B$33,MATCH($B563,'Intervals'!$A$4:$A$33,0)),""))</f>
        <v/>
      </c>
      <c r="D563" s="17" t="n"/>
      <c r="E563" s="18" t="n"/>
      <c r="F563" s="19">
        <f>IF(OR($B563="",$E563=""),"",IFERROR(IF(AND(INDEX('Intervals'!$G$4:$G$33,MATCH($B563,'Intervals'!$A$4:$A$33,0))&lt;&gt;"No",N(INDEX('Intervals'!$C$4:$C$33,MATCH($B563,'Intervals'!$A$4:$A$33,0)))&gt;0),$E563+N(INDEX('Intervals'!$C$4:$C$33,MATCH($B563,'Intervals'!$A$4:$A$33,0))),""),""))</f>
        <v/>
      </c>
      <c r="G563" s="20">
        <f>IF(OR($B563="",$D563=""),"",IFERROR(IF(AND(INDEX('Intervals'!$G$4:$G$33,MATCH($B563,'Intervals'!$A$4:$A$33,0))&lt;&gt;"No",N(INDEX('Intervals'!$D$4:$D$33,MATCH($B563,'Intervals'!$A$4:$A$33,0)))&gt;0),EDATE($D563,N(INDEX('Intervals'!$D$4:$D$33,MATCH($B563,'Intervals'!$A$4:$A$33,0)))),""),""))</f>
        <v/>
      </c>
      <c r="H563" s="19">
        <f>IF($A563="","",IFERROR(IF(N(INDEX('Cars'!$H$4:$H$103,MATCH($A563,'Cars'!$A$4:$A$103,0)))&gt;0,INDEX('Cars'!$H$4:$H$103,MATCH($A563,'Cars'!$A$4:$A$103,0)),""),""))</f>
        <v/>
      </c>
      <c r="I563" s="19">
        <f>IF(OR($F563="",$H563=""),"",$F563-$H563)</f>
        <v/>
      </c>
      <c r="J563" s="21">
        <f>IF($G563="","",$G563-TODAY())</f>
        <v/>
      </c>
      <c r="K563" s="21">
        <f>IF($I563="","",IFERROR(IF(N(INDEX('Cars'!$J$4:$J$103,MATCH($A563,'Cars'!$A$4:$A$103,0)))&gt;0,ROUND($I563/INDEX('Cars'!$J$4:$J$103,MATCH($A563,'Cars'!$A$4:$A$103,0))*30,0),""),""))</f>
        <v/>
      </c>
      <c r="L563" s="21">
        <f>IF(AND($J563="",$K563=""),"",MIN(IF($J563="",99999,$J563),IF($K563="",99999,$K563)))</f>
        <v/>
      </c>
      <c r="M563" s="16">
        <f>IF(AND($I563="",$J563=""),"",IF(OR(AND($I563&lt;&gt;"",N($I563)&lt;0),AND($J563&lt;&gt;"",N($J563)&lt;0)),"Overdue",IF(OR(AND($I563&lt;&gt;"",N($I563)&lt;=IFERROR(INDEX('Intervals'!$E$4:$E$33,MATCH($B563,'Intervals'!$A$4:$A$33,0)),500)),AND($J563&lt;&gt;"",N($J563)&lt;=IFERROR(INDEX('Intervals'!$F$4:$F$33,MATCH($B563,'Intervals'!$A$4:$A$33,0)),14))),"Due soon","OK")))</f>
        <v/>
      </c>
      <c r="N563" s="15" t="n"/>
      <c r="O563" s="22">
        <f>IF(OR($M563="",$M563="OK"),"",$L563+ROW()/100000)</f>
        <v/>
      </c>
    </row>
    <row r="564">
      <c r="A564" s="15" t="n"/>
      <c r="B564" s="15" t="n"/>
      <c r="C564" s="16">
        <f>IF($B564="","",IFERROR(INDEX('Intervals'!$B$4:$B$33,MATCH($B564,'Intervals'!$A$4:$A$33,0)),""))</f>
        <v/>
      </c>
      <c r="D564" s="17" t="n"/>
      <c r="E564" s="18" t="n"/>
      <c r="F564" s="19">
        <f>IF(OR($B564="",$E564=""),"",IFERROR(IF(AND(INDEX('Intervals'!$G$4:$G$33,MATCH($B564,'Intervals'!$A$4:$A$33,0))&lt;&gt;"No",N(INDEX('Intervals'!$C$4:$C$33,MATCH($B564,'Intervals'!$A$4:$A$33,0)))&gt;0),$E564+N(INDEX('Intervals'!$C$4:$C$33,MATCH($B564,'Intervals'!$A$4:$A$33,0))),""),""))</f>
        <v/>
      </c>
      <c r="G564" s="20">
        <f>IF(OR($B564="",$D564=""),"",IFERROR(IF(AND(INDEX('Intervals'!$G$4:$G$33,MATCH($B564,'Intervals'!$A$4:$A$33,0))&lt;&gt;"No",N(INDEX('Intervals'!$D$4:$D$33,MATCH($B564,'Intervals'!$A$4:$A$33,0)))&gt;0),EDATE($D564,N(INDEX('Intervals'!$D$4:$D$33,MATCH($B564,'Intervals'!$A$4:$A$33,0)))),""),""))</f>
        <v/>
      </c>
      <c r="H564" s="19">
        <f>IF($A564="","",IFERROR(IF(N(INDEX('Cars'!$H$4:$H$103,MATCH($A564,'Cars'!$A$4:$A$103,0)))&gt;0,INDEX('Cars'!$H$4:$H$103,MATCH($A564,'Cars'!$A$4:$A$103,0)),""),""))</f>
        <v/>
      </c>
      <c r="I564" s="19">
        <f>IF(OR($F564="",$H564=""),"",$F564-$H564)</f>
        <v/>
      </c>
      <c r="J564" s="21">
        <f>IF($G564="","",$G564-TODAY())</f>
        <v/>
      </c>
      <c r="K564" s="21">
        <f>IF($I564="","",IFERROR(IF(N(INDEX('Cars'!$J$4:$J$103,MATCH($A564,'Cars'!$A$4:$A$103,0)))&gt;0,ROUND($I564/INDEX('Cars'!$J$4:$J$103,MATCH($A564,'Cars'!$A$4:$A$103,0))*30,0),""),""))</f>
        <v/>
      </c>
      <c r="L564" s="21">
        <f>IF(AND($J564="",$K564=""),"",MIN(IF($J564="",99999,$J564),IF($K564="",99999,$K564)))</f>
        <v/>
      </c>
      <c r="M564" s="16">
        <f>IF(AND($I564="",$J564=""),"",IF(OR(AND($I564&lt;&gt;"",N($I564)&lt;0),AND($J564&lt;&gt;"",N($J564)&lt;0)),"Overdue",IF(OR(AND($I564&lt;&gt;"",N($I564)&lt;=IFERROR(INDEX('Intervals'!$E$4:$E$33,MATCH($B564,'Intervals'!$A$4:$A$33,0)),500)),AND($J564&lt;&gt;"",N($J564)&lt;=IFERROR(INDEX('Intervals'!$F$4:$F$33,MATCH($B564,'Intervals'!$A$4:$A$33,0)),14))),"Due soon","OK")))</f>
        <v/>
      </c>
      <c r="N564" s="15" t="n"/>
      <c r="O564" s="22">
        <f>IF(OR($M564="",$M564="OK"),"",$L564+ROW()/100000)</f>
        <v/>
      </c>
    </row>
    <row r="565">
      <c r="A565" s="15" t="n"/>
      <c r="B565" s="15" t="n"/>
      <c r="C565" s="16">
        <f>IF($B565="","",IFERROR(INDEX('Intervals'!$B$4:$B$33,MATCH($B565,'Intervals'!$A$4:$A$33,0)),""))</f>
        <v/>
      </c>
      <c r="D565" s="17" t="n"/>
      <c r="E565" s="18" t="n"/>
      <c r="F565" s="19">
        <f>IF(OR($B565="",$E565=""),"",IFERROR(IF(AND(INDEX('Intervals'!$G$4:$G$33,MATCH($B565,'Intervals'!$A$4:$A$33,0))&lt;&gt;"No",N(INDEX('Intervals'!$C$4:$C$33,MATCH($B565,'Intervals'!$A$4:$A$33,0)))&gt;0),$E565+N(INDEX('Intervals'!$C$4:$C$33,MATCH($B565,'Intervals'!$A$4:$A$33,0))),""),""))</f>
        <v/>
      </c>
      <c r="G565" s="20">
        <f>IF(OR($B565="",$D565=""),"",IFERROR(IF(AND(INDEX('Intervals'!$G$4:$G$33,MATCH($B565,'Intervals'!$A$4:$A$33,0))&lt;&gt;"No",N(INDEX('Intervals'!$D$4:$D$33,MATCH($B565,'Intervals'!$A$4:$A$33,0)))&gt;0),EDATE($D565,N(INDEX('Intervals'!$D$4:$D$33,MATCH($B565,'Intervals'!$A$4:$A$33,0)))),""),""))</f>
        <v/>
      </c>
      <c r="H565" s="19">
        <f>IF($A565="","",IFERROR(IF(N(INDEX('Cars'!$H$4:$H$103,MATCH($A565,'Cars'!$A$4:$A$103,0)))&gt;0,INDEX('Cars'!$H$4:$H$103,MATCH($A565,'Cars'!$A$4:$A$103,0)),""),""))</f>
        <v/>
      </c>
      <c r="I565" s="19">
        <f>IF(OR($F565="",$H565=""),"",$F565-$H565)</f>
        <v/>
      </c>
      <c r="J565" s="21">
        <f>IF($G565="","",$G565-TODAY())</f>
        <v/>
      </c>
      <c r="K565" s="21">
        <f>IF($I565="","",IFERROR(IF(N(INDEX('Cars'!$J$4:$J$103,MATCH($A565,'Cars'!$A$4:$A$103,0)))&gt;0,ROUND($I565/INDEX('Cars'!$J$4:$J$103,MATCH($A565,'Cars'!$A$4:$A$103,0))*30,0),""),""))</f>
        <v/>
      </c>
      <c r="L565" s="21">
        <f>IF(AND($J565="",$K565=""),"",MIN(IF($J565="",99999,$J565),IF($K565="",99999,$K565)))</f>
        <v/>
      </c>
      <c r="M565" s="16">
        <f>IF(AND($I565="",$J565=""),"",IF(OR(AND($I565&lt;&gt;"",N($I565)&lt;0),AND($J565&lt;&gt;"",N($J565)&lt;0)),"Overdue",IF(OR(AND($I565&lt;&gt;"",N($I565)&lt;=IFERROR(INDEX('Intervals'!$E$4:$E$33,MATCH($B565,'Intervals'!$A$4:$A$33,0)),500)),AND($J565&lt;&gt;"",N($J565)&lt;=IFERROR(INDEX('Intervals'!$F$4:$F$33,MATCH($B565,'Intervals'!$A$4:$A$33,0)),14))),"Due soon","OK")))</f>
        <v/>
      </c>
      <c r="N565" s="15" t="n"/>
      <c r="O565" s="22">
        <f>IF(OR($M565="",$M565="OK"),"",$L565+ROW()/100000)</f>
        <v/>
      </c>
    </row>
    <row r="566">
      <c r="A566" s="15" t="n"/>
      <c r="B566" s="15" t="n"/>
      <c r="C566" s="16">
        <f>IF($B566="","",IFERROR(INDEX('Intervals'!$B$4:$B$33,MATCH($B566,'Intervals'!$A$4:$A$33,0)),""))</f>
        <v/>
      </c>
      <c r="D566" s="17" t="n"/>
      <c r="E566" s="18" t="n"/>
      <c r="F566" s="19">
        <f>IF(OR($B566="",$E566=""),"",IFERROR(IF(AND(INDEX('Intervals'!$G$4:$G$33,MATCH($B566,'Intervals'!$A$4:$A$33,0))&lt;&gt;"No",N(INDEX('Intervals'!$C$4:$C$33,MATCH($B566,'Intervals'!$A$4:$A$33,0)))&gt;0),$E566+N(INDEX('Intervals'!$C$4:$C$33,MATCH($B566,'Intervals'!$A$4:$A$33,0))),""),""))</f>
        <v/>
      </c>
      <c r="G566" s="20">
        <f>IF(OR($B566="",$D566=""),"",IFERROR(IF(AND(INDEX('Intervals'!$G$4:$G$33,MATCH($B566,'Intervals'!$A$4:$A$33,0))&lt;&gt;"No",N(INDEX('Intervals'!$D$4:$D$33,MATCH($B566,'Intervals'!$A$4:$A$33,0)))&gt;0),EDATE($D566,N(INDEX('Intervals'!$D$4:$D$33,MATCH($B566,'Intervals'!$A$4:$A$33,0)))),""),""))</f>
        <v/>
      </c>
      <c r="H566" s="19">
        <f>IF($A566="","",IFERROR(IF(N(INDEX('Cars'!$H$4:$H$103,MATCH($A566,'Cars'!$A$4:$A$103,0)))&gt;0,INDEX('Cars'!$H$4:$H$103,MATCH($A566,'Cars'!$A$4:$A$103,0)),""),""))</f>
        <v/>
      </c>
      <c r="I566" s="19">
        <f>IF(OR($F566="",$H566=""),"",$F566-$H566)</f>
        <v/>
      </c>
      <c r="J566" s="21">
        <f>IF($G566="","",$G566-TODAY())</f>
        <v/>
      </c>
      <c r="K566" s="21">
        <f>IF($I566="","",IFERROR(IF(N(INDEX('Cars'!$J$4:$J$103,MATCH($A566,'Cars'!$A$4:$A$103,0)))&gt;0,ROUND($I566/INDEX('Cars'!$J$4:$J$103,MATCH($A566,'Cars'!$A$4:$A$103,0))*30,0),""),""))</f>
        <v/>
      </c>
      <c r="L566" s="21">
        <f>IF(AND($J566="",$K566=""),"",MIN(IF($J566="",99999,$J566),IF($K566="",99999,$K566)))</f>
        <v/>
      </c>
      <c r="M566" s="16">
        <f>IF(AND($I566="",$J566=""),"",IF(OR(AND($I566&lt;&gt;"",N($I566)&lt;0),AND($J566&lt;&gt;"",N($J566)&lt;0)),"Overdue",IF(OR(AND($I566&lt;&gt;"",N($I566)&lt;=IFERROR(INDEX('Intervals'!$E$4:$E$33,MATCH($B566,'Intervals'!$A$4:$A$33,0)),500)),AND($J566&lt;&gt;"",N($J566)&lt;=IFERROR(INDEX('Intervals'!$F$4:$F$33,MATCH($B566,'Intervals'!$A$4:$A$33,0)),14))),"Due soon","OK")))</f>
        <v/>
      </c>
      <c r="N566" s="15" t="n"/>
      <c r="O566" s="22">
        <f>IF(OR($M566="",$M566="OK"),"",$L566+ROW()/100000)</f>
        <v/>
      </c>
    </row>
    <row r="567">
      <c r="A567" s="15" t="n"/>
      <c r="B567" s="15" t="n"/>
      <c r="C567" s="16">
        <f>IF($B567="","",IFERROR(INDEX('Intervals'!$B$4:$B$33,MATCH($B567,'Intervals'!$A$4:$A$33,0)),""))</f>
        <v/>
      </c>
      <c r="D567" s="17" t="n"/>
      <c r="E567" s="18" t="n"/>
      <c r="F567" s="19">
        <f>IF(OR($B567="",$E567=""),"",IFERROR(IF(AND(INDEX('Intervals'!$G$4:$G$33,MATCH($B567,'Intervals'!$A$4:$A$33,0))&lt;&gt;"No",N(INDEX('Intervals'!$C$4:$C$33,MATCH($B567,'Intervals'!$A$4:$A$33,0)))&gt;0),$E567+N(INDEX('Intervals'!$C$4:$C$33,MATCH($B567,'Intervals'!$A$4:$A$33,0))),""),""))</f>
        <v/>
      </c>
      <c r="G567" s="20">
        <f>IF(OR($B567="",$D567=""),"",IFERROR(IF(AND(INDEX('Intervals'!$G$4:$G$33,MATCH($B567,'Intervals'!$A$4:$A$33,0))&lt;&gt;"No",N(INDEX('Intervals'!$D$4:$D$33,MATCH($B567,'Intervals'!$A$4:$A$33,0)))&gt;0),EDATE($D567,N(INDEX('Intervals'!$D$4:$D$33,MATCH($B567,'Intervals'!$A$4:$A$33,0)))),""),""))</f>
        <v/>
      </c>
      <c r="H567" s="19">
        <f>IF($A567="","",IFERROR(IF(N(INDEX('Cars'!$H$4:$H$103,MATCH($A567,'Cars'!$A$4:$A$103,0)))&gt;0,INDEX('Cars'!$H$4:$H$103,MATCH($A567,'Cars'!$A$4:$A$103,0)),""),""))</f>
        <v/>
      </c>
      <c r="I567" s="19">
        <f>IF(OR($F567="",$H567=""),"",$F567-$H567)</f>
        <v/>
      </c>
      <c r="J567" s="21">
        <f>IF($G567="","",$G567-TODAY())</f>
        <v/>
      </c>
      <c r="K567" s="21">
        <f>IF($I567="","",IFERROR(IF(N(INDEX('Cars'!$J$4:$J$103,MATCH($A567,'Cars'!$A$4:$A$103,0)))&gt;0,ROUND($I567/INDEX('Cars'!$J$4:$J$103,MATCH($A567,'Cars'!$A$4:$A$103,0))*30,0),""),""))</f>
        <v/>
      </c>
      <c r="L567" s="21">
        <f>IF(AND($J567="",$K567=""),"",MIN(IF($J567="",99999,$J567),IF($K567="",99999,$K567)))</f>
        <v/>
      </c>
      <c r="M567" s="16">
        <f>IF(AND($I567="",$J567=""),"",IF(OR(AND($I567&lt;&gt;"",N($I567)&lt;0),AND($J567&lt;&gt;"",N($J567)&lt;0)),"Overdue",IF(OR(AND($I567&lt;&gt;"",N($I567)&lt;=IFERROR(INDEX('Intervals'!$E$4:$E$33,MATCH($B567,'Intervals'!$A$4:$A$33,0)),500)),AND($J567&lt;&gt;"",N($J567)&lt;=IFERROR(INDEX('Intervals'!$F$4:$F$33,MATCH($B567,'Intervals'!$A$4:$A$33,0)),14))),"Due soon","OK")))</f>
        <v/>
      </c>
      <c r="N567" s="15" t="n"/>
      <c r="O567" s="22">
        <f>IF(OR($M567="",$M567="OK"),"",$L567+ROW()/100000)</f>
        <v/>
      </c>
    </row>
    <row r="568">
      <c r="A568" s="15" t="n"/>
      <c r="B568" s="15" t="n"/>
      <c r="C568" s="16">
        <f>IF($B568="","",IFERROR(INDEX('Intervals'!$B$4:$B$33,MATCH($B568,'Intervals'!$A$4:$A$33,0)),""))</f>
        <v/>
      </c>
      <c r="D568" s="17" t="n"/>
      <c r="E568" s="18" t="n"/>
      <c r="F568" s="19">
        <f>IF(OR($B568="",$E568=""),"",IFERROR(IF(AND(INDEX('Intervals'!$G$4:$G$33,MATCH($B568,'Intervals'!$A$4:$A$33,0))&lt;&gt;"No",N(INDEX('Intervals'!$C$4:$C$33,MATCH($B568,'Intervals'!$A$4:$A$33,0)))&gt;0),$E568+N(INDEX('Intervals'!$C$4:$C$33,MATCH($B568,'Intervals'!$A$4:$A$33,0))),""),""))</f>
        <v/>
      </c>
      <c r="G568" s="20">
        <f>IF(OR($B568="",$D568=""),"",IFERROR(IF(AND(INDEX('Intervals'!$G$4:$G$33,MATCH($B568,'Intervals'!$A$4:$A$33,0))&lt;&gt;"No",N(INDEX('Intervals'!$D$4:$D$33,MATCH($B568,'Intervals'!$A$4:$A$33,0)))&gt;0),EDATE($D568,N(INDEX('Intervals'!$D$4:$D$33,MATCH($B568,'Intervals'!$A$4:$A$33,0)))),""),""))</f>
        <v/>
      </c>
      <c r="H568" s="19">
        <f>IF($A568="","",IFERROR(IF(N(INDEX('Cars'!$H$4:$H$103,MATCH($A568,'Cars'!$A$4:$A$103,0)))&gt;0,INDEX('Cars'!$H$4:$H$103,MATCH($A568,'Cars'!$A$4:$A$103,0)),""),""))</f>
        <v/>
      </c>
      <c r="I568" s="19">
        <f>IF(OR($F568="",$H568=""),"",$F568-$H568)</f>
        <v/>
      </c>
      <c r="J568" s="21">
        <f>IF($G568="","",$G568-TODAY())</f>
        <v/>
      </c>
      <c r="K568" s="21">
        <f>IF($I568="","",IFERROR(IF(N(INDEX('Cars'!$J$4:$J$103,MATCH($A568,'Cars'!$A$4:$A$103,0)))&gt;0,ROUND($I568/INDEX('Cars'!$J$4:$J$103,MATCH($A568,'Cars'!$A$4:$A$103,0))*30,0),""),""))</f>
        <v/>
      </c>
      <c r="L568" s="21">
        <f>IF(AND($J568="",$K568=""),"",MIN(IF($J568="",99999,$J568),IF($K568="",99999,$K568)))</f>
        <v/>
      </c>
      <c r="M568" s="16">
        <f>IF(AND($I568="",$J568=""),"",IF(OR(AND($I568&lt;&gt;"",N($I568)&lt;0),AND($J568&lt;&gt;"",N($J568)&lt;0)),"Overdue",IF(OR(AND($I568&lt;&gt;"",N($I568)&lt;=IFERROR(INDEX('Intervals'!$E$4:$E$33,MATCH($B568,'Intervals'!$A$4:$A$33,0)),500)),AND($J568&lt;&gt;"",N($J568)&lt;=IFERROR(INDEX('Intervals'!$F$4:$F$33,MATCH($B568,'Intervals'!$A$4:$A$33,0)),14))),"Due soon","OK")))</f>
        <v/>
      </c>
      <c r="N568" s="15" t="n"/>
      <c r="O568" s="22">
        <f>IF(OR($M568="",$M568="OK"),"",$L568+ROW()/100000)</f>
        <v/>
      </c>
    </row>
    <row r="569">
      <c r="A569" s="15" t="n"/>
      <c r="B569" s="15" t="n"/>
      <c r="C569" s="16">
        <f>IF($B569="","",IFERROR(INDEX('Intervals'!$B$4:$B$33,MATCH($B569,'Intervals'!$A$4:$A$33,0)),""))</f>
        <v/>
      </c>
      <c r="D569" s="17" t="n"/>
      <c r="E569" s="18" t="n"/>
      <c r="F569" s="19">
        <f>IF(OR($B569="",$E569=""),"",IFERROR(IF(AND(INDEX('Intervals'!$G$4:$G$33,MATCH($B569,'Intervals'!$A$4:$A$33,0))&lt;&gt;"No",N(INDEX('Intervals'!$C$4:$C$33,MATCH($B569,'Intervals'!$A$4:$A$33,0)))&gt;0),$E569+N(INDEX('Intervals'!$C$4:$C$33,MATCH($B569,'Intervals'!$A$4:$A$33,0))),""),""))</f>
        <v/>
      </c>
      <c r="G569" s="20">
        <f>IF(OR($B569="",$D569=""),"",IFERROR(IF(AND(INDEX('Intervals'!$G$4:$G$33,MATCH($B569,'Intervals'!$A$4:$A$33,0))&lt;&gt;"No",N(INDEX('Intervals'!$D$4:$D$33,MATCH($B569,'Intervals'!$A$4:$A$33,0)))&gt;0),EDATE($D569,N(INDEX('Intervals'!$D$4:$D$33,MATCH($B569,'Intervals'!$A$4:$A$33,0)))),""),""))</f>
        <v/>
      </c>
      <c r="H569" s="19">
        <f>IF($A569="","",IFERROR(IF(N(INDEX('Cars'!$H$4:$H$103,MATCH($A569,'Cars'!$A$4:$A$103,0)))&gt;0,INDEX('Cars'!$H$4:$H$103,MATCH($A569,'Cars'!$A$4:$A$103,0)),""),""))</f>
        <v/>
      </c>
      <c r="I569" s="19">
        <f>IF(OR($F569="",$H569=""),"",$F569-$H569)</f>
        <v/>
      </c>
      <c r="J569" s="21">
        <f>IF($G569="","",$G569-TODAY())</f>
        <v/>
      </c>
      <c r="K569" s="21">
        <f>IF($I569="","",IFERROR(IF(N(INDEX('Cars'!$J$4:$J$103,MATCH($A569,'Cars'!$A$4:$A$103,0)))&gt;0,ROUND($I569/INDEX('Cars'!$J$4:$J$103,MATCH($A569,'Cars'!$A$4:$A$103,0))*30,0),""),""))</f>
        <v/>
      </c>
      <c r="L569" s="21">
        <f>IF(AND($J569="",$K569=""),"",MIN(IF($J569="",99999,$J569),IF($K569="",99999,$K569)))</f>
        <v/>
      </c>
      <c r="M569" s="16">
        <f>IF(AND($I569="",$J569=""),"",IF(OR(AND($I569&lt;&gt;"",N($I569)&lt;0),AND($J569&lt;&gt;"",N($J569)&lt;0)),"Overdue",IF(OR(AND($I569&lt;&gt;"",N($I569)&lt;=IFERROR(INDEX('Intervals'!$E$4:$E$33,MATCH($B569,'Intervals'!$A$4:$A$33,0)),500)),AND($J569&lt;&gt;"",N($J569)&lt;=IFERROR(INDEX('Intervals'!$F$4:$F$33,MATCH($B569,'Intervals'!$A$4:$A$33,0)),14))),"Due soon","OK")))</f>
        <v/>
      </c>
      <c r="N569" s="15" t="n"/>
      <c r="O569" s="22">
        <f>IF(OR($M569="",$M569="OK"),"",$L569+ROW()/100000)</f>
        <v/>
      </c>
    </row>
    <row r="570">
      <c r="A570" s="15" t="n"/>
      <c r="B570" s="15" t="n"/>
      <c r="C570" s="16">
        <f>IF($B570="","",IFERROR(INDEX('Intervals'!$B$4:$B$33,MATCH($B570,'Intervals'!$A$4:$A$33,0)),""))</f>
        <v/>
      </c>
      <c r="D570" s="17" t="n"/>
      <c r="E570" s="18" t="n"/>
      <c r="F570" s="19">
        <f>IF(OR($B570="",$E570=""),"",IFERROR(IF(AND(INDEX('Intervals'!$G$4:$G$33,MATCH($B570,'Intervals'!$A$4:$A$33,0))&lt;&gt;"No",N(INDEX('Intervals'!$C$4:$C$33,MATCH($B570,'Intervals'!$A$4:$A$33,0)))&gt;0),$E570+N(INDEX('Intervals'!$C$4:$C$33,MATCH($B570,'Intervals'!$A$4:$A$33,0))),""),""))</f>
        <v/>
      </c>
      <c r="G570" s="20">
        <f>IF(OR($B570="",$D570=""),"",IFERROR(IF(AND(INDEX('Intervals'!$G$4:$G$33,MATCH($B570,'Intervals'!$A$4:$A$33,0))&lt;&gt;"No",N(INDEX('Intervals'!$D$4:$D$33,MATCH($B570,'Intervals'!$A$4:$A$33,0)))&gt;0),EDATE($D570,N(INDEX('Intervals'!$D$4:$D$33,MATCH($B570,'Intervals'!$A$4:$A$33,0)))),""),""))</f>
        <v/>
      </c>
      <c r="H570" s="19">
        <f>IF($A570="","",IFERROR(IF(N(INDEX('Cars'!$H$4:$H$103,MATCH($A570,'Cars'!$A$4:$A$103,0)))&gt;0,INDEX('Cars'!$H$4:$H$103,MATCH($A570,'Cars'!$A$4:$A$103,0)),""),""))</f>
        <v/>
      </c>
      <c r="I570" s="19">
        <f>IF(OR($F570="",$H570=""),"",$F570-$H570)</f>
        <v/>
      </c>
      <c r="J570" s="21">
        <f>IF($G570="","",$G570-TODAY())</f>
        <v/>
      </c>
      <c r="K570" s="21">
        <f>IF($I570="","",IFERROR(IF(N(INDEX('Cars'!$J$4:$J$103,MATCH($A570,'Cars'!$A$4:$A$103,0)))&gt;0,ROUND($I570/INDEX('Cars'!$J$4:$J$103,MATCH($A570,'Cars'!$A$4:$A$103,0))*30,0),""),""))</f>
        <v/>
      </c>
      <c r="L570" s="21">
        <f>IF(AND($J570="",$K570=""),"",MIN(IF($J570="",99999,$J570),IF($K570="",99999,$K570)))</f>
        <v/>
      </c>
      <c r="M570" s="16">
        <f>IF(AND($I570="",$J570=""),"",IF(OR(AND($I570&lt;&gt;"",N($I570)&lt;0),AND($J570&lt;&gt;"",N($J570)&lt;0)),"Overdue",IF(OR(AND($I570&lt;&gt;"",N($I570)&lt;=IFERROR(INDEX('Intervals'!$E$4:$E$33,MATCH($B570,'Intervals'!$A$4:$A$33,0)),500)),AND($J570&lt;&gt;"",N($J570)&lt;=IFERROR(INDEX('Intervals'!$F$4:$F$33,MATCH($B570,'Intervals'!$A$4:$A$33,0)),14))),"Due soon","OK")))</f>
        <v/>
      </c>
      <c r="N570" s="15" t="n"/>
      <c r="O570" s="22">
        <f>IF(OR($M570="",$M570="OK"),"",$L570+ROW()/100000)</f>
        <v/>
      </c>
    </row>
    <row r="571">
      <c r="A571" s="15" t="n"/>
      <c r="B571" s="15" t="n"/>
      <c r="C571" s="16">
        <f>IF($B571="","",IFERROR(INDEX('Intervals'!$B$4:$B$33,MATCH($B571,'Intervals'!$A$4:$A$33,0)),""))</f>
        <v/>
      </c>
      <c r="D571" s="17" t="n"/>
      <c r="E571" s="18" t="n"/>
      <c r="F571" s="19">
        <f>IF(OR($B571="",$E571=""),"",IFERROR(IF(AND(INDEX('Intervals'!$G$4:$G$33,MATCH($B571,'Intervals'!$A$4:$A$33,0))&lt;&gt;"No",N(INDEX('Intervals'!$C$4:$C$33,MATCH($B571,'Intervals'!$A$4:$A$33,0)))&gt;0),$E571+N(INDEX('Intervals'!$C$4:$C$33,MATCH($B571,'Intervals'!$A$4:$A$33,0))),""),""))</f>
        <v/>
      </c>
      <c r="G571" s="20">
        <f>IF(OR($B571="",$D571=""),"",IFERROR(IF(AND(INDEX('Intervals'!$G$4:$G$33,MATCH($B571,'Intervals'!$A$4:$A$33,0))&lt;&gt;"No",N(INDEX('Intervals'!$D$4:$D$33,MATCH($B571,'Intervals'!$A$4:$A$33,0)))&gt;0),EDATE($D571,N(INDEX('Intervals'!$D$4:$D$33,MATCH($B571,'Intervals'!$A$4:$A$33,0)))),""),""))</f>
        <v/>
      </c>
      <c r="H571" s="19">
        <f>IF($A571="","",IFERROR(IF(N(INDEX('Cars'!$H$4:$H$103,MATCH($A571,'Cars'!$A$4:$A$103,0)))&gt;0,INDEX('Cars'!$H$4:$H$103,MATCH($A571,'Cars'!$A$4:$A$103,0)),""),""))</f>
        <v/>
      </c>
      <c r="I571" s="19">
        <f>IF(OR($F571="",$H571=""),"",$F571-$H571)</f>
        <v/>
      </c>
      <c r="J571" s="21">
        <f>IF($G571="","",$G571-TODAY())</f>
        <v/>
      </c>
      <c r="K571" s="21">
        <f>IF($I571="","",IFERROR(IF(N(INDEX('Cars'!$J$4:$J$103,MATCH($A571,'Cars'!$A$4:$A$103,0)))&gt;0,ROUND($I571/INDEX('Cars'!$J$4:$J$103,MATCH($A571,'Cars'!$A$4:$A$103,0))*30,0),""),""))</f>
        <v/>
      </c>
      <c r="L571" s="21">
        <f>IF(AND($J571="",$K571=""),"",MIN(IF($J571="",99999,$J571),IF($K571="",99999,$K571)))</f>
        <v/>
      </c>
      <c r="M571" s="16">
        <f>IF(AND($I571="",$J571=""),"",IF(OR(AND($I571&lt;&gt;"",N($I571)&lt;0),AND($J571&lt;&gt;"",N($J571)&lt;0)),"Overdue",IF(OR(AND($I571&lt;&gt;"",N($I571)&lt;=IFERROR(INDEX('Intervals'!$E$4:$E$33,MATCH($B571,'Intervals'!$A$4:$A$33,0)),500)),AND($J571&lt;&gt;"",N($J571)&lt;=IFERROR(INDEX('Intervals'!$F$4:$F$33,MATCH($B571,'Intervals'!$A$4:$A$33,0)),14))),"Due soon","OK")))</f>
        <v/>
      </c>
      <c r="N571" s="15" t="n"/>
      <c r="O571" s="22">
        <f>IF(OR($M571="",$M571="OK"),"",$L571+ROW()/100000)</f>
        <v/>
      </c>
    </row>
    <row r="572">
      <c r="A572" s="15" t="n"/>
      <c r="B572" s="15" t="n"/>
      <c r="C572" s="16">
        <f>IF($B572="","",IFERROR(INDEX('Intervals'!$B$4:$B$33,MATCH($B572,'Intervals'!$A$4:$A$33,0)),""))</f>
        <v/>
      </c>
      <c r="D572" s="17" t="n"/>
      <c r="E572" s="18" t="n"/>
      <c r="F572" s="19">
        <f>IF(OR($B572="",$E572=""),"",IFERROR(IF(AND(INDEX('Intervals'!$G$4:$G$33,MATCH($B572,'Intervals'!$A$4:$A$33,0))&lt;&gt;"No",N(INDEX('Intervals'!$C$4:$C$33,MATCH($B572,'Intervals'!$A$4:$A$33,0)))&gt;0),$E572+N(INDEX('Intervals'!$C$4:$C$33,MATCH($B572,'Intervals'!$A$4:$A$33,0))),""),""))</f>
        <v/>
      </c>
      <c r="G572" s="20">
        <f>IF(OR($B572="",$D572=""),"",IFERROR(IF(AND(INDEX('Intervals'!$G$4:$G$33,MATCH($B572,'Intervals'!$A$4:$A$33,0))&lt;&gt;"No",N(INDEX('Intervals'!$D$4:$D$33,MATCH($B572,'Intervals'!$A$4:$A$33,0)))&gt;0),EDATE($D572,N(INDEX('Intervals'!$D$4:$D$33,MATCH($B572,'Intervals'!$A$4:$A$33,0)))),""),""))</f>
        <v/>
      </c>
      <c r="H572" s="19">
        <f>IF($A572="","",IFERROR(IF(N(INDEX('Cars'!$H$4:$H$103,MATCH($A572,'Cars'!$A$4:$A$103,0)))&gt;0,INDEX('Cars'!$H$4:$H$103,MATCH($A572,'Cars'!$A$4:$A$103,0)),""),""))</f>
        <v/>
      </c>
      <c r="I572" s="19">
        <f>IF(OR($F572="",$H572=""),"",$F572-$H572)</f>
        <v/>
      </c>
      <c r="J572" s="21">
        <f>IF($G572="","",$G572-TODAY())</f>
        <v/>
      </c>
      <c r="K572" s="21">
        <f>IF($I572="","",IFERROR(IF(N(INDEX('Cars'!$J$4:$J$103,MATCH($A572,'Cars'!$A$4:$A$103,0)))&gt;0,ROUND($I572/INDEX('Cars'!$J$4:$J$103,MATCH($A572,'Cars'!$A$4:$A$103,0))*30,0),""),""))</f>
        <v/>
      </c>
      <c r="L572" s="21">
        <f>IF(AND($J572="",$K572=""),"",MIN(IF($J572="",99999,$J572),IF($K572="",99999,$K572)))</f>
        <v/>
      </c>
      <c r="M572" s="16">
        <f>IF(AND($I572="",$J572=""),"",IF(OR(AND($I572&lt;&gt;"",N($I572)&lt;0),AND($J572&lt;&gt;"",N($J572)&lt;0)),"Overdue",IF(OR(AND($I572&lt;&gt;"",N($I572)&lt;=IFERROR(INDEX('Intervals'!$E$4:$E$33,MATCH($B572,'Intervals'!$A$4:$A$33,0)),500)),AND($J572&lt;&gt;"",N($J572)&lt;=IFERROR(INDEX('Intervals'!$F$4:$F$33,MATCH($B572,'Intervals'!$A$4:$A$33,0)),14))),"Due soon","OK")))</f>
        <v/>
      </c>
      <c r="N572" s="15" t="n"/>
      <c r="O572" s="22">
        <f>IF(OR($M572="",$M572="OK"),"",$L572+ROW()/100000)</f>
        <v/>
      </c>
    </row>
    <row r="573">
      <c r="A573" s="15" t="n"/>
      <c r="B573" s="15" t="n"/>
      <c r="C573" s="16">
        <f>IF($B573="","",IFERROR(INDEX('Intervals'!$B$4:$B$33,MATCH($B573,'Intervals'!$A$4:$A$33,0)),""))</f>
        <v/>
      </c>
      <c r="D573" s="17" t="n"/>
      <c r="E573" s="18" t="n"/>
      <c r="F573" s="19">
        <f>IF(OR($B573="",$E573=""),"",IFERROR(IF(AND(INDEX('Intervals'!$G$4:$G$33,MATCH($B573,'Intervals'!$A$4:$A$33,0))&lt;&gt;"No",N(INDEX('Intervals'!$C$4:$C$33,MATCH($B573,'Intervals'!$A$4:$A$33,0)))&gt;0),$E573+N(INDEX('Intervals'!$C$4:$C$33,MATCH($B573,'Intervals'!$A$4:$A$33,0))),""),""))</f>
        <v/>
      </c>
      <c r="G573" s="20">
        <f>IF(OR($B573="",$D573=""),"",IFERROR(IF(AND(INDEX('Intervals'!$G$4:$G$33,MATCH($B573,'Intervals'!$A$4:$A$33,0))&lt;&gt;"No",N(INDEX('Intervals'!$D$4:$D$33,MATCH($B573,'Intervals'!$A$4:$A$33,0)))&gt;0),EDATE($D573,N(INDEX('Intervals'!$D$4:$D$33,MATCH($B573,'Intervals'!$A$4:$A$33,0)))),""),""))</f>
        <v/>
      </c>
      <c r="H573" s="19">
        <f>IF($A573="","",IFERROR(IF(N(INDEX('Cars'!$H$4:$H$103,MATCH($A573,'Cars'!$A$4:$A$103,0)))&gt;0,INDEX('Cars'!$H$4:$H$103,MATCH($A573,'Cars'!$A$4:$A$103,0)),""),""))</f>
        <v/>
      </c>
      <c r="I573" s="19">
        <f>IF(OR($F573="",$H573=""),"",$F573-$H573)</f>
        <v/>
      </c>
      <c r="J573" s="21">
        <f>IF($G573="","",$G573-TODAY())</f>
        <v/>
      </c>
      <c r="K573" s="21">
        <f>IF($I573="","",IFERROR(IF(N(INDEX('Cars'!$J$4:$J$103,MATCH($A573,'Cars'!$A$4:$A$103,0)))&gt;0,ROUND($I573/INDEX('Cars'!$J$4:$J$103,MATCH($A573,'Cars'!$A$4:$A$103,0))*30,0),""),""))</f>
        <v/>
      </c>
      <c r="L573" s="21">
        <f>IF(AND($J573="",$K573=""),"",MIN(IF($J573="",99999,$J573),IF($K573="",99999,$K573)))</f>
        <v/>
      </c>
      <c r="M573" s="16">
        <f>IF(AND($I573="",$J573=""),"",IF(OR(AND($I573&lt;&gt;"",N($I573)&lt;0),AND($J573&lt;&gt;"",N($J573)&lt;0)),"Overdue",IF(OR(AND($I573&lt;&gt;"",N($I573)&lt;=IFERROR(INDEX('Intervals'!$E$4:$E$33,MATCH($B573,'Intervals'!$A$4:$A$33,0)),500)),AND($J573&lt;&gt;"",N($J573)&lt;=IFERROR(INDEX('Intervals'!$F$4:$F$33,MATCH($B573,'Intervals'!$A$4:$A$33,0)),14))),"Due soon","OK")))</f>
        <v/>
      </c>
      <c r="N573" s="15" t="n"/>
      <c r="O573" s="22">
        <f>IF(OR($M573="",$M573="OK"),"",$L573+ROW()/100000)</f>
        <v/>
      </c>
    </row>
    <row r="574">
      <c r="A574" s="15" t="n"/>
      <c r="B574" s="15" t="n"/>
      <c r="C574" s="16">
        <f>IF($B574="","",IFERROR(INDEX('Intervals'!$B$4:$B$33,MATCH($B574,'Intervals'!$A$4:$A$33,0)),""))</f>
        <v/>
      </c>
      <c r="D574" s="17" t="n"/>
      <c r="E574" s="18" t="n"/>
      <c r="F574" s="19">
        <f>IF(OR($B574="",$E574=""),"",IFERROR(IF(AND(INDEX('Intervals'!$G$4:$G$33,MATCH($B574,'Intervals'!$A$4:$A$33,0))&lt;&gt;"No",N(INDEX('Intervals'!$C$4:$C$33,MATCH($B574,'Intervals'!$A$4:$A$33,0)))&gt;0),$E574+N(INDEX('Intervals'!$C$4:$C$33,MATCH($B574,'Intervals'!$A$4:$A$33,0))),""),""))</f>
        <v/>
      </c>
      <c r="G574" s="20">
        <f>IF(OR($B574="",$D574=""),"",IFERROR(IF(AND(INDEX('Intervals'!$G$4:$G$33,MATCH($B574,'Intervals'!$A$4:$A$33,0))&lt;&gt;"No",N(INDEX('Intervals'!$D$4:$D$33,MATCH($B574,'Intervals'!$A$4:$A$33,0)))&gt;0),EDATE($D574,N(INDEX('Intervals'!$D$4:$D$33,MATCH($B574,'Intervals'!$A$4:$A$33,0)))),""),""))</f>
        <v/>
      </c>
      <c r="H574" s="19">
        <f>IF($A574="","",IFERROR(IF(N(INDEX('Cars'!$H$4:$H$103,MATCH($A574,'Cars'!$A$4:$A$103,0)))&gt;0,INDEX('Cars'!$H$4:$H$103,MATCH($A574,'Cars'!$A$4:$A$103,0)),""),""))</f>
        <v/>
      </c>
      <c r="I574" s="19">
        <f>IF(OR($F574="",$H574=""),"",$F574-$H574)</f>
        <v/>
      </c>
      <c r="J574" s="21">
        <f>IF($G574="","",$G574-TODAY())</f>
        <v/>
      </c>
      <c r="K574" s="21">
        <f>IF($I574="","",IFERROR(IF(N(INDEX('Cars'!$J$4:$J$103,MATCH($A574,'Cars'!$A$4:$A$103,0)))&gt;0,ROUND($I574/INDEX('Cars'!$J$4:$J$103,MATCH($A574,'Cars'!$A$4:$A$103,0))*30,0),""),""))</f>
        <v/>
      </c>
      <c r="L574" s="21">
        <f>IF(AND($J574="",$K574=""),"",MIN(IF($J574="",99999,$J574),IF($K574="",99999,$K574)))</f>
        <v/>
      </c>
      <c r="M574" s="16">
        <f>IF(AND($I574="",$J574=""),"",IF(OR(AND($I574&lt;&gt;"",N($I574)&lt;0),AND($J574&lt;&gt;"",N($J574)&lt;0)),"Overdue",IF(OR(AND($I574&lt;&gt;"",N($I574)&lt;=IFERROR(INDEX('Intervals'!$E$4:$E$33,MATCH($B574,'Intervals'!$A$4:$A$33,0)),500)),AND($J574&lt;&gt;"",N($J574)&lt;=IFERROR(INDEX('Intervals'!$F$4:$F$33,MATCH($B574,'Intervals'!$A$4:$A$33,0)),14))),"Due soon","OK")))</f>
        <v/>
      </c>
      <c r="N574" s="15" t="n"/>
      <c r="O574" s="22">
        <f>IF(OR($M574="",$M574="OK"),"",$L574+ROW()/100000)</f>
        <v/>
      </c>
    </row>
    <row r="575">
      <c r="A575" s="15" t="n"/>
      <c r="B575" s="15" t="n"/>
      <c r="C575" s="16">
        <f>IF($B575="","",IFERROR(INDEX('Intervals'!$B$4:$B$33,MATCH($B575,'Intervals'!$A$4:$A$33,0)),""))</f>
        <v/>
      </c>
      <c r="D575" s="17" t="n"/>
      <c r="E575" s="18" t="n"/>
      <c r="F575" s="19">
        <f>IF(OR($B575="",$E575=""),"",IFERROR(IF(AND(INDEX('Intervals'!$G$4:$G$33,MATCH($B575,'Intervals'!$A$4:$A$33,0))&lt;&gt;"No",N(INDEX('Intervals'!$C$4:$C$33,MATCH($B575,'Intervals'!$A$4:$A$33,0)))&gt;0),$E575+N(INDEX('Intervals'!$C$4:$C$33,MATCH($B575,'Intervals'!$A$4:$A$33,0))),""),""))</f>
        <v/>
      </c>
      <c r="G575" s="20">
        <f>IF(OR($B575="",$D575=""),"",IFERROR(IF(AND(INDEX('Intervals'!$G$4:$G$33,MATCH($B575,'Intervals'!$A$4:$A$33,0))&lt;&gt;"No",N(INDEX('Intervals'!$D$4:$D$33,MATCH($B575,'Intervals'!$A$4:$A$33,0)))&gt;0),EDATE($D575,N(INDEX('Intervals'!$D$4:$D$33,MATCH($B575,'Intervals'!$A$4:$A$33,0)))),""),""))</f>
        <v/>
      </c>
      <c r="H575" s="19">
        <f>IF($A575="","",IFERROR(IF(N(INDEX('Cars'!$H$4:$H$103,MATCH($A575,'Cars'!$A$4:$A$103,0)))&gt;0,INDEX('Cars'!$H$4:$H$103,MATCH($A575,'Cars'!$A$4:$A$103,0)),""),""))</f>
        <v/>
      </c>
      <c r="I575" s="19">
        <f>IF(OR($F575="",$H575=""),"",$F575-$H575)</f>
        <v/>
      </c>
      <c r="J575" s="21">
        <f>IF($G575="","",$G575-TODAY())</f>
        <v/>
      </c>
      <c r="K575" s="21">
        <f>IF($I575="","",IFERROR(IF(N(INDEX('Cars'!$J$4:$J$103,MATCH($A575,'Cars'!$A$4:$A$103,0)))&gt;0,ROUND($I575/INDEX('Cars'!$J$4:$J$103,MATCH($A575,'Cars'!$A$4:$A$103,0))*30,0),""),""))</f>
        <v/>
      </c>
      <c r="L575" s="21">
        <f>IF(AND($J575="",$K575=""),"",MIN(IF($J575="",99999,$J575),IF($K575="",99999,$K575)))</f>
        <v/>
      </c>
      <c r="M575" s="16">
        <f>IF(AND($I575="",$J575=""),"",IF(OR(AND($I575&lt;&gt;"",N($I575)&lt;0),AND($J575&lt;&gt;"",N($J575)&lt;0)),"Overdue",IF(OR(AND($I575&lt;&gt;"",N($I575)&lt;=IFERROR(INDEX('Intervals'!$E$4:$E$33,MATCH($B575,'Intervals'!$A$4:$A$33,0)),500)),AND($J575&lt;&gt;"",N($J575)&lt;=IFERROR(INDEX('Intervals'!$F$4:$F$33,MATCH($B575,'Intervals'!$A$4:$A$33,0)),14))),"Due soon","OK")))</f>
        <v/>
      </c>
      <c r="N575" s="15" t="n"/>
      <c r="O575" s="22">
        <f>IF(OR($M575="",$M575="OK"),"",$L575+ROW()/100000)</f>
        <v/>
      </c>
    </row>
    <row r="576">
      <c r="A576" s="15" t="n"/>
      <c r="B576" s="15" t="n"/>
      <c r="C576" s="16">
        <f>IF($B576="","",IFERROR(INDEX('Intervals'!$B$4:$B$33,MATCH($B576,'Intervals'!$A$4:$A$33,0)),""))</f>
        <v/>
      </c>
      <c r="D576" s="17" t="n"/>
      <c r="E576" s="18" t="n"/>
      <c r="F576" s="19">
        <f>IF(OR($B576="",$E576=""),"",IFERROR(IF(AND(INDEX('Intervals'!$G$4:$G$33,MATCH($B576,'Intervals'!$A$4:$A$33,0))&lt;&gt;"No",N(INDEX('Intervals'!$C$4:$C$33,MATCH($B576,'Intervals'!$A$4:$A$33,0)))&gt;0),$E576+N(INDEX('Intervals'!$C$4:$C$33,MATCH($B576,'Intervals'!$A$4:$A$33,0))),""),""))</f>
        <v/>
      </c>
      <c r="G576" s="20">
        <f>IF(OR($B576="",$D576=""),"",IFERROR(IF(AND(INDEX('Intervals'!$G$4:$G$33,MATCH($B576,'Intervals'!$A$4:$A$33,0))&lt;&gt;"No",N(INDEX('Intervals'!$D$4:$D$33,MATCH($B576,'Intervals'!$A$4:$A$33,0)))&gt;0),EDATE($D576,N(INDEX('Intervals'!$D$4:$D$33,MATCH($B576,'Intervals'!$A$4:$A$33,0)))),""),""))</f>
        <v/>
      </c>
      <c r="H576" s="19">
        <f>IF($A576="","",IFERROR(IF(N(INDEX('Cars'!$H$4:$H$103,MATCH($A576,'Cars'!$A$4:$A$103,0)))&gt;0,INDEX('Cars'!$H$4:$H$103,MATCH($A576,'Cars'!$A$4:$A$103,0)),""),""))</f>
        <v/>
      </c>
      <c r="I576" s="19">
        <f>IF(OR($F576="",$H576=""),"",$F576-$H576)</f>
        <v/>
      </c>
      <c r="J576" s="21">
        <f>IF($G576="","",$G576-TODAY())</f>
        <v/>
      </c>
      <c r="K576" s="21">
        <f>IF($I576="","",IFERROR(IF(N(INDEX('Cars'!$J$4:$J$103,MATCH($A576,'Cars'!$A$4:$A$103,0)))&gt;0,ROUND($I576/INDEX('Cars'!$J$4:$J$103,MATCH($A576,'Cars'!$A$4:$A$103,0))*30,0),""),""))</f>
        <v/>
      </c>
      <c r="L576" s="21">
        <f>IF(AND($J576="",$K576=""),"",MIN(IF($J576="",99999,$J576),IF($K576="",99999,$K576)))</f>
        <v/>
      </c>
      <c r="M576" s="16">
        <f>IF(AND($I576="",$J576=""),"",IF(OR(AND($I576&lt;&gt;"",N($I576)&lt;0),AND($J576&lt;&gt;"",N($J576)&lt;0)),"Overdue",IF(OR(AND($I576&lt;&gt;"",N($I576)&lt;=IFERROR(INDEX('Intervals'!$E$4:$E$33,MATCH($B576,'Intervals'!$A$4:$A$33,0)),500)),AND($J576&lt;&gt;"",N($J576)&lt;=IFERROR(INDEX('Intervals'!$F$4:$F$33,MATCH($B576,'Intervals'!$A$4:$A$33,0)),14))),"Due soon","OK")))</f>
        <v/>
      </c>
      <c r="N576" s="15" t="n"/>
      <c r="O576" s="22">
        <f>IF(OR($M576="",$M576="OK"),"",$L576+ROW()/100000)</f>
        <v/>
      </c>
    </row>
    <row r="577">
      <c r="A577" s="15" t="n"/>
      <c r="B577" s="15" t="n"/>
      <c r="C577" s="16">
        <f>IF($B577="","",IFERROR(INDEX('Intervals'!$B$4:$B$33,MATCH($B577,'Intervals'!$A$4:$A$33,0)),""))</f>
        <v/>
      </c>
      <c r="D577" s="17" t="n"/>
      <c r="E577" s="18" t="n"/>
      <c r="F577" s="19">
        <f>IF(OR($B577="",$E577=""),"",IFERROR(IF(AND(INDEX('Intervals'!$G$4:$G$33,MATCH($B577,'Intervals'!$A$4:$A$33,0))&lt;&gt;"No",N(INDEX('Intervals'!$C$4:$C$33,MATCH($B577,'Intervals'!$A$4:$A$33,0)))&gt;0),$E577+N(INDEX('Intervals'!$C$4:$C$33,MATCH($B577,'Intervals'!$A$4:$A$33,0))),""),""))</f>
        <v/>
      </c>
      <c r="G577" s="20">
        <f>IF(OR($B577="",$D577=""),"",IFERROR(IF(AND(INDEX('Intervals'!$G$4:$G$33,MATCH($B577,'Intervals'!$A$4:$A$33,0))&lt;&gt;"No",N(INDEX('Intervals'!$D$4:$D$33,MATCH($B577,'Intervals'!$A$4:$A$33,0)))&gt;0),EDATE($D577,N(INDEX('Intervals'!$D$4:$D$33,MATCH($B577,'Intervals'!$A$4:$A$33,0)))),""),""))</f>
        <v/>
      </c>
      <c r="H577" s="19">
        <f>IF($A577="","",IFERROR(IF(N(INDEX('Cars'!$H$4:$H$103,MATCH($A577,'Cars'!$A$4:$A$103,0)))&gt;0,INDEX('Cars'!$H$4:$H$103,MATCH($A577,'Cars'!$A$4:$A$103,0)),""),""))</f>
        <v/>
      </c>
      <c r="I577" s="19">
        <f>IF(OR($F577="",$H577=""),"",$F577-$H577)</f>
        <v/>
      </c>
      <c r="J577" s="21">
        <f>IF($G577="","",$G577-TODAY())</f>
        <v/>
      </c>
      <c r="K577" s="21">
        <f>IF($I577="","",IFERROR(IF(N(INDEX('Cars'!$J$4:$J$103,MATCH($A577,'Cars'!$A$4:$A$103,0)))&gt;0,ROUND($I577/INDEX('Cars'!$J$4:$J$103,MATCH($A577,'Cars'!$A$4:$A$103,0))*30,0),""),""))</f>
        <v/>
      </c>
      <c r="L577" s="21">
        <f>IF(AND($J577="",$K577=""),"",MIN(IF($J577="",99999,$J577),IF($K577="",99999,$K577)))</f>
        <v/>
      </c>
      <c r="M577" s="16">
        <f>IF(AND($I577="",$J577=""),"",IF(OR(AND($I577&lt;&gt;"",N($I577)&lt;0),AND($J577&lt;&gt;"",N($J577)&lt;0)),"Overdue",IF(OR(AND($I577&lt;&gt;"",N($I577)&lt;=IFERROR(INDEX('Intervals'!$E$4:$E$33,MATCH($B577,'Intervals'!$A$4:$A$33,0)),500)),AND($J577&lt;&gt;"",N($J577)&lt;=IFERROR(INDEX('Intervals'!$F$4:$F$33,MATCH($B577,'Intervals'!$A$4:$A$33,0)),14))),"Due soon","OK")))</f>
        <v/>
      </c>
      <c r="N577" s="15" t="n"/>
      <c r="O577" s="22">
        <f>IF(OR($M577="",$M577="OK"),"",$L577+ROW()/100000)</f>
        <v/>
      </c>
    </row>
    <row r="578">
      <c r="A578" s="15" t="n"/>
      <c r="B578" s="15" t="n"/>
      <c r="C578" s="16">
        <f>IF($B578="","",IFERROR(INDEX('Intervals'!$B$4:$B$33,MATCH($B578,'Intervals'!$A$4:$A$33,0)),""))</f>
        <v/>
      </c>
      <c r="D578" s="17" t="n"/>
      <c r="E578" s="18" t="n"/>
      <c r="F578" s="19">
        <f>IF(OR($B578="",$E578=""),"",IFERROR(IF(AND(INDEX('Intervals'!$G$4:$G$33,MATCH($B578,'Intervals'!$A$4:$A$33,0))&lt;&gt;"No",N(INDEX('Intervals'!$C$4:$C$33,MATCH($B578,'Intervals'!$A$4:$A$33,0)))&gt;0),$E578+N(INDEX('Intervals'!$C$4:$C$33,MATCH($B578,'Intervals'!$A$4:$A$33,0))),""),""))</f>
        <v/>
      </c>
      <c r="G578" s="20">
        <f>IF(OR($B578="",$D578=""),"",IFERROR(IF(AND(INDEX('Intervals'!$G$4:$G$33,MATCH($B578,'Intervals'!$A$4:$A$33,0))&lt;&gt;"No",N(INDEX('Intervals'!$D$4:$D$33,MATCH($B578,'Intervals'!$A$4:$A$33,0)))&gt;0),EDATE($D578,N(INDEX('Intervals'!$D$4:$D$33,MATCH($B578,'Intervals'!$A$4:$A$33,0)))),""),""))</f>
        <v/>
      </c>
      <c r="H578" s="19">
        <f>IF($A578="","",IFERROR(IF(N(INDEX('Cars'!$H$4:$H$103,MATCH($A578,'Cars'!$A$4:$A$103,0)))&gt;0,INDEX('Cars'!$H$4:$H$103,MATCH($A578,'Cars'!$A$4:$A$103,0)),""),""))</f>
        <v/>
      </c>
      <c r="I578" s="19">
        <f>IF(OR($F578="",$H578=""),"",$F578-$H578)</f>
        <v/>
      </c>
      <c r="J578" s="21">
        <f>IF($G578="","",$G578-TODAY())</f>
        <v/>
      </c>
      <c r="K578" s="21">
        <f>IF($I578="","",IFERROR(IF(N(INDEX('Cars'!$J$4:$J$103,MATCH($A578,'Cars'!$A$4:$A$103,0)))&gt;0,ROUND($I578/INDEX('Cars'!$J$4:$J$103,MATCH($A578,'Cars'!$A$4:$A$103,0))*30,0),""),""))</f>
        <v/>
      </c>
      <c r="L578" s="21">
        <f>IF(AND($J578="",$K578=""),"",MIN(IF($J578="",99999,$J578),IF($K578="",99999,$K578)))</f>
        <v/>
      </c>
      <c r="M578" s="16">
        <f>IF(AND($I578="",$J578=""),"",IF(OR(AND($I578&lt;&gt;"",N($I578)&lt;0),AND($J578&lt;&gt;"",N($J578)&lt;0)),"Overdue",IF(OR(AND($I578&lt;&gt;"",N($I578)&lt;=IFERROR(INDEX('Intervals'!$E$4:$E$33,MATCH($B578,'Intervals'!$A$4:$A$33,0)),500)),AND($J578&lt;&gt;"",N($J578)&lt;=IFERROR(INDEX('Intervals'!$F$4:$F$33,MATCH($B578,'Intervals'!$A$4:$A$33,0)),14))),"Due soon","OK")))</f>
        <v/>
      </c>
      <c r="N578" s="15" t="n"/>
      <c r="O578" s="22">
        <f>IF(OR($M578="",$M578="OK"),"",$L578+ROW()/100000)</f>
        <v/>
      </c>
    </row>
    <row r="579">
      <c r="A579" s="15" t="n"/>
      <c r="B579" s="15" t="n"/>
      <c r="C579" s="16">
        <f>IF($B579="","",IFERROR(INDEX('Intervals'!$B$4:$B$33,MATCH($B579,'Intervals'!$A$4:$A$33,0)),""))</f>
        <v/>
      </c>
      <c r="D579" s="17" t="n"/>
      <c r="E579" s="18" t="n"/>
      <c r="F579" s="19">
        <f>IF(OR($B579="",$E579=""),"",IFERROR(IF(AND(INDEX('Intervals'!$G$4:$G$33,MATCH($B579,'Intervals'!$A$4:$A$33,0))&lt;&gt;"No",N(INDEX('Intervals'!$C$4:$C$33,MATCH($B579,'Intervals'!$A$4:$A$33,0)))&gt;0),$E579+N(INDEX('Intervals'!$C$4:$C$33,MATCH($B579,'Intervals'!$A$4:$A$33,0))),""),""))</f>
        <v/>
      </c>
      <c r="G579" s="20">
        <f>IF(OR($B579="",$D579=""),"",IFERROR(IF(AND(INDEX('Intervals'!$G$4:$G$33,MATCH($B579,'Intervals'!$A$4:$A$33,0))&lt;&gt;"No",N(INDEX('Intervals'!$D$4:$D$33,MATCH($B579,'Intervals'!$A$4:$A$33,0)))&gt;0),EDATE($D579,N(INDEX('Intervals'!$D$4:$D$33,MATCH($B579,'Intervals'!$A$4:$A$33,0)))),""),""))</f>
        <v/>
      </c>
      <c r="H579" s="19">
        <f>IF($A579="","",IFERROR(IF(N(INDEX('Cars'!$H$4:$H$103,MATCH($A579,'Cars'!$A$4:$A$103,0)))&gt;0,INDEX('Cars'!$H$4:$H$103,MATCH($A579,'Cars'!$A$4:$A$103,0)),""),""))</f>
        <v/>
      </c>
      <c r="I579" s="19">
        <f>IF(OR($F579="",$H579=""),"",$F579-$H579)</f>
        <v/>
      </c>
      <c r="J579" s="21">
        <f>IF($G579="","",$G579-TODAY())</f>
        <v/>
      </c>
      <c r="K579" s="21">
        <f>IF($I579="","",IFERROR(IF(N(INDEX('Cars'!$J$4:$J$103,MATCH($A579,'Cars'!$A$4:$A$103,0)))&gt;0,ROUND($I579/INDEX('Cars'!$J$4:$J$103,MATCH($A579,'Cars'!$A$4:$A$103,0))*30,0),""),""))</f>
        <v/>
      </c>
      <c r="L579" s="21">
        <f>IF(AND($J579="",$K579=""),"",MIN(IF($J579="",99999,$J579),IF($K579="",99999,$K579)))</f>
        <v/>
      </c>
      <c r="M579" s="16">
        <f>IF(AND($I579="",$J579=""),"",IF(OR(AND($I579&lt;&gt;"",N($I579)&lt;0),AND($J579&lt;&gt;"",N($J579)&lt;0)),"Overdue",IF(OR(AND($I579&lt;&gt;"",N($I579)&lt;=IFERROR(INDEX('Intervals'!$E$4:$E$33,MATCH($B579,'Intervals'!$A$4:$A$33,0)),500)),AND($J579&lt;&gt;"",N($J579)&lt;=IFERROR(INDEX('Intervals'!$F$4:$F$33,MATCH($B579,'Intervals'!$A$4:$A$33,0)),14))),"Due soon","OK")))</f>
        <v/>
      </c>
      <c r="N579" s="15" t="n"/>
      <c r="O579" s="22">
        <f>IF(OR($M579="",$M579="OK"),"",$L579+ROW()/100000)</f>
        <v/>
      </c>
    </row>
    <row r="580">
      <c r="A580" s="15" t="n"/>
      <c r="B580" s="15" t="n"/>
      <c r="C580" s="16">
        <f>IF($B580="","",IFERROR(INDEX('Intervals'!$B$4:$B$33,MATCH($B580,'Intervals'!$A$4:$A$33,0)),""))</f>
        <v/>
      </c>
      <c r="D580" s="17" t="n"/>
      <c r="E580" s="18" t="n"/>
      <c r="F580" s="19">
        <f>IF(OR($B580="",$E580=""),"",IFERROR(IF(AND(INDEX('Intervals'!$G$4:$G$33,MATCH($B580,'Intervals'!$A$4:$A$33,0))&lt;&gt;"No",N(INDEX('Intervals'!$C$4:$C$33,MATCH($B580,'Intervals'!$A$4:$A$33,0)))&gt;0),$E580+N(INDEX('Intervals'!$C$4:$C$33,MATCH($B580,'Intervals'!$A$4:$A$33,0))),""),""))</f>
        <v/>
      </c>
      <c r="G580" s="20">
        <f>IF(OR($B580="",$D580=""),"",IFERROR(IF(AND(INDEX('Intervals'!$G$4:$G$33,MATCH($B580,'Intervals'!$A$4:$A$33,0))&lt;&gt;"No",N(INDEX('Intervals'!$D$4:$D$33,MATCH($B580,'Intervals'!$A$4:$A$33,0)))&gt;0),EDATE($D580,N(INDEX('Intervals'!$D$4:$D$33,MATCH($B580,'Intervals'!$A$4:$A$33,0)))),""),""))</f>
        <v/>
      </c>
      <c r="H580" s="19">
        <f>IF($A580="","",IFERROR(IF(N(INDEX('Cars'!$H$4:$H$103,MATCH($A580,'Cars'!$A$4:$A$103,0)))&gt;0,INDEX('Cars'!$H$4:$H$103,MATCH($A580,'Cars'!$A$4:$A$103,0)),""),""))</f>
        <v/>
      </c>
      <c r="I580" s="19">
        <f>IF(OR($F580="",$H580=""),"",$F580-$H580)</f>
        <v/>
      </c>
      <c r="J580" s="21">
        <f>IF($G580="","",$G580-TODAY())</f>
        <v/>
      </c>
      <c r="K580" s="21">
        <f>IF($I580="","",IFERROR(IF(N(INDEX('Cars'!$J$4:$J$103,MATCH($A580,'Cars'!$A$4:$A$103,0)))&gt;0,ROUND($I580/INDEX('Cars'!$J$4:$J$103,MATCH($A580,'Cars'!$A$4:$A$103,0))*30,0),""),""))</f>
        <v/>
      </c>
      <c r="L580" s="21">
        <f>IF(AND($J580="",$K580=""),"",MIN(IF($J580="",99999,$J580),IF($K580="",99999,$K580)))</f>
        <v/>
      </c>
      <c r="M580" s="16">
        <f>IF(AND($I580="",$J580=""),"",IF(OR(AND($I580&lt;&gt;"",N($I580)&lt;0),AND($J580&lt;&gt;"",N($J580)&lt;0)),"Overdue",IF(OR(AND($I580&lt;&gt;"",N($I580)&lt;=IFERROR(INDEX('Intervals'!$E$4:$E$33,MATCH($B580,'Intervals'!$A$4:$A$33,0)),500)),AND($J580&lt;&gt;"",N($J580)&lt;=IFERROR(INDEX('Intervals'!$F$4:$F$33,MATCH($B580,'Intervals'!$A$4:$A$33,0)),14))),"Due soon","OK")))</f>
        <v/>
      </c>
      <c r="N580" s="15" t="n"/>
      <c r="O580" s="22">
        <f>IF(OR($M580="",$M580="OK"),"",$L580+ROW()/100000)</f>
        <v/>
      </c>
    </row>
    <row r="581">
      <c r="A581" s="15" t="n"/>
      <c r="B581" s="15" t="n"/>
      <c r="C581" s="16">
        <f>IF($B581="","",IFERROR(INDEX('Intervals'!$B$4:$B$33,MATCH($B581,'Intervals'!$A$4:$A$33,0)),""))</f>
        <v/>
      </c>
      <c r="D581" s="17" t="n"/>
      <c r="E581" s="18" t="n"/>
      <c r="F581" s="19">
        <f>IF(OR($B581="",$E581=""),"",IFERROR(IF(AND(INDEX('Intervals'!$G$4:$G$33,MATCH($B581,'Intervals'!$A$4:$A$33,0))&lt;&gt;"No",N(INDEX('Intervals'!$C$4:$C$33,MATCH($B581,'Intervals'!$A$4:$A$33,0)))&gt;0),$E581+N(INDEX('Intervals'!$C$4:$C$33,MATCH($B581,'Intervals'!$A$4:$A$33,0))),""),""))</f>
        <v/>
      </c>
      <c r="G581" s="20">
        <f>IF(OR($B581="",$D581=""),"",IFERROR(IF(AND(INDEX('Intervals'!$G$4:$G$33,MATCH($B581,'Intervals'!$A$4:$A$33,0))&lt;&gt;"No",N(INDEX('Intervals'!$D$4:$D$33,MATCH($B581,'Intervals'!$A$4:$A$33,0)))&gt;0),EDATE($D581,N(INDEX('Intervals'!$D$4:$D$33,MATCH($B581,'Intervals'!$A$4:$A$33,0)))),""),""))</f>
        <v/>
      </c>
      <c r="H581" s="19">
        <f>IF($A581="","",IFERROR(IF(N(INDEX('Cars'!$H$4:$H$103,MATCH($A581,'Cars'!$A$4:$A$103,0)))&gt;0,INDEX('Cars'!$H$4:$H$103,MATCH($A581,'Cars'!$A$4:$A$103,0)),""),""))</f>
        <v/>
      </c>
      <c r="I581" s="19">
        <f>IF(OR($F581="",$H581=""),"",$F581-$H581)</f>
        <v/>
      </c>
      <c r="J581" s="21">
        <f>IF($G581="","",$G581-TODAY())</f>
        <v/>
      </c>
      <c r="K581" s="21">
        <f>IF($I581="","",IFERROR(IF(N(INDEX('Cars'!$J$4:$J$103,MATCH($A581,'Cars'!$A$4:$A$103,0)))&gt;0,ROUND($I581/INDEX('Cars'!$J$4:$J$103,MATCH($A581,'Cars'!$A$4:$A$103,0))*30,0),""),""))</f>
        <v/>
      </c>
      <c r="L581" s="21">
        <f>IF(AND($J581="",$K581=""),"",MIN(IF($J581="",99999,$J581),IF($K581="",99999,$K581)))</f>
        <v/>
      </c>
      <c r="M581" s="16">
        <f>IF(AND($I581="",$J581=""),"",IF(OR(AND($I581&lt;&gt;"",N($I581)&lt;0),AND($J581&lt;&gt;"",N($J581)&lt;0)),"Overdue",IF(OR(AND($I581&lt;&gt;"",N($I581)&lt;=IFERROR(INDEX('Intervals'!$E$4:$E$33,MATCH($B581,'Intervals'!$A$4:$A$33,0)),500)),AND($J581&lt;&gt;"",N($J581)&lt;=IFERROR(INDEX('Intervals'!$F$4:$F$33,MATCH($B581,'Intervals'!$A$4:$A$33,0)),14))),"Due soon","OK")))</f>
        <v/>
      </c>
      <c r="N581" s="15" t="n"/>
      <c r="O581" s="22">
        <f>IF(OR($M581="",$M581="OK"),"",$L581+ROW()/100000)</f>
        <v/>
      </c>
    </row>
    <row r="582">
      <c r="A582" s="15" t="n"/>
      <c r="B582" s="15" t="n"/>
      <c r="C582" s="16">
        <f>IF($B582="","",IFERROR(INDEX('Intervals'!$B$4:$B$33,MATCH($B582,'Intervals'!$A$4:$A$33,0)),""))</f>
        <v/>
      </c>
      <c r="D582" s="17" t="n"/>
      <c r="E582" s="18" t="n"/>
      <c r="F582" s="19">
        <f>IF(OR($B582="",$E582=""),"",IFERROR(IF(AND(INDEX('Intervals'!$G$4:$G$33,MATCH($B582,'Intervals'!$A$4:$A$33,0))&lt;&gt;"No",N(INDEX('Intervals'!$C$4:$C$33,MATCH($B582,'Intervals'!$A$4:$A$33,0)))&gt;0),$E582+N(INDEX('Intervals'!$C$4:$C$33,MATCH($B582,'Intervals'!$A$4:$A$33,0))),""),""))</f>
        <v/>
      </c>
      <c r="G582" s="20">
        <f>IF(OR($B582="",$D582=""),"",IFERROR(IF(AND(INDEX('Intervals'!$G$4:$G$33,MATCH($B582,'Intervals'!$A$4:$A$33,0))&lt;&gt;"No",N(INDEX('Intervals'!$D$4:$D$33,MATCH($B582,'Intervals'!$A$4:$A$33,0)))&gt;0),EDATE($D582,N(INDEX('Intervals'!$D$4:$D$33,MATCH($B582,'Intervals'!$A$4:$A$33,0)))),""),""))</f>
        <v/>
      </c>
      <c r="H582" s="19">
        <f>IF($A582="","",IFERROR(IF(N(INDEX('Cars'!$H$4:$H$103,MATCH($A582,'Cars'!$A$4:$A$103,0)))&gt;0,INDEX('Cars'!$H$4:$H$103,MATCH($A582,'Cars'!$A$4:$A$103,0)),""),""))</f>
        <v/>
      </c>
      <c r="I582" s="19">
        <f>IF(OR($F582="",$H582=""),"",$F582-$H582)</f>
        <v/>
      </c>
      <c r="J582" s="21">
        <f>IF($G582="","",$G582-TODAY())</f>
        <v/>
      </c>
      <c r="K582" s="21">
        <f>IF($I582="","",IFERROR(IF(N(INDEX('Cars'!$J$4:$J$103,MATCH($A582,'Cars'!$A$4:$A$103,0)))&gt;0,ROUND($I582/INDEX('Cars'!$J$4:$J$103,MATCH($A582,'Cars'!$A$4:$A$103,0))*30,0),""),""))</f>
        <v/>
      </c>
      <c r="L582" s="21">
        <f>IF(AND($J582="",$K582=""),"",MIN(IF($J582="",99999,$J582),IF($K582="",99999,$K582)))</f>
        <v/>
      </c>
      <c r="M582" s="16">
        <f>IF(AND($I582="",$J582=""),"",IF(OR(AND($I582&lt;&gt;"",N($I582)&lt;0),AND($J582&lt;&gt;"",N($J582)&lt;0)),"Overdue",IF(OR(AND($I582&lt;&gt;"",N($I582)&lt;=IFERROR(INDEX('Intervals'!$E$4:$E$33,MATCH($B582,'Intervals'!$A$4:$A$33,0)),500)),AND($J582&lt;&gt;"",N($J582)&lt;=IFERROR(INDEX('Intervals'!$F$4:$F$33,MATCH($B582,'Intervals'!$A$4:$A$33,0)),14))),"Due soon","OK")))</f>
        <v/>
      </c>
      <c r="N582" s="15" t="n"/>
      <c r="O582" s="22">
        <f>IF(OR($M582="",$M582="OK"),"",$L582+ROW()/100000)</f>
        <v/>
      </c>
    </row>
    <row r="583">
      <c r="A583" s="15" t="n"/>
      <c r="B583" s="15" t="n"/>
      <c r="C583" s="16">
        <f>IF($B583="","",IFERROR(INDEX('Intervals'!$B$4:$B$33,MATCH($B583,'Intervals'!$A$4:$A$33,0)),""))</f>
        <v/>
      </c>
      <c r="D583" s="17" t="n"/>
      <c r="E583" s="18" t="n"/>
      <c r="F583" s="19">
        <f>IF(OR($B583="",$E583=""),"",IFERROR(IF(AND(INDEX('Intervals'!$G$4:$G$33,MATCH($B583,'Intervals'!$A$4:$A$33,0))&lt;&gt;"No",N(INDEX('Intervals'!$C$4:$C$33,MATCH($B583,'Intervals'!$A$4:$A$33,0)))&gt;0),$E583+N(INDEX('Intervals'!$C$4:$C$33,MATCH($B583,'Intervals'!$A$4:$A$33,0))),""),""))</f>
        <v/>
      </c>
      <c r="G583" s="20">
        <f>IF(OR($B583="",$D583=""),"",IFERROR(IF(AND(INDEX('Intervals'!$G$4:$G$33,MATCH($B583,'Intervals'!$A$4:$A$33,0))&lt;&gt;"No",N(INDEX('Intervals'!$D$4:$D$33,MATCH($B583,'Intervals'!$A$4:$A$33,0)))&gt;0),EDATE($D583,N(INDEX('Intervals'!$D$4:$D$33,MATCH($B583,'Intervals'!$A$4:$A$33,0)))),""),""))</f>
        <v/>
      </c>
      <c r="H583" s="19">
        <f>IF($A583="","",IFERROR(IF(N(INDEX('Cars'!$H$4:$H$103,MATCH($A583,'Cars'!$A$4:$A$103,0)))&gt;0,INDEX('Cars'!$H$4:$H$103,MATCH($A583,'Cars'!$A$4:$A$103,0)),""),""))</f>
        <v/>
      </c>
      <c r="I583" s="19">
        <f>IF(OR($F583="",$H583=""),"",$F583-$H583)</f>
        <v/>
      </c>
      <c r="J583" s="21">
        <f>IF($G583="","",$G583-TODAY())</f>
        <v/>
      </c>
      <c r="K583" s="21">
        <f>IF($I583="","",IFERROR(IF(N(INDEX('Cars'!$J$4:$J$103,MATCH($A583,'Cars'!$A$4:$A$103,0)))&gt;0,ROUND($I583/INDEX('Cars'!$J$4:$J$103,MATCH($A583,'Cars'!$A$4:$A$103,0))*30,0),""),""))</f>
        <v/>
      </c>
      <c r="L583" s="21">
        <f>IF(AND($J583="",$K583=""),"",MIN(IF($J583="",99999,$J583),IF($K583="",99999,$K583)))</f>
        <v/>
      </c>
      <c r="M583" s="16">
        <f>IF(AND($I583="",$J583=""),"",IF(OR(AND($I583&lt;&gt;"",N($I583)&lt;0),AND($J583&lt;&gt;"",N($J583)&lt;0)),"Overdue",IF(OR(AND($I583&lt;&gt;"",N($I583)&lt;=IFERROR(INDEX('Intervals'!$E$4:$E$33,MATCH($B583,'Intervals'!$A$4:$A$33,0)),500)),AND($J583&lt;&gt;"",N($J583)&lt;=IFERROR(INDEX('Intervals'!$F$4:$F$33,MATCH($B583,'Intervals'!$A$4:$A$33,0)),14))),"Due soon","OK")))</f>
        <v/>
      </c>
      <c r="N583" s="15" t="n"/>
      <c r="O583" s="22">
        <f>IF(OR($M583="",$M583="OK"),"",$L583+ROW()/100000)</f>
        <v/>
      </c>
    </row>
    <row r="584">
      <c r="A584" s="15" t="n"/>
      <c r="B584" s="15" t="n"/>
      <c r="C584" s="16">
        <f>IF($B584="","",IFERROR(INDEX('Intervals'!$B$4:$B$33,MATCH($B584,'Intervals'!$A$4:$A$33,0)),""))</f>
        <v/>
      </c>
      <c r="D584" s="17" t="n"/>
      <c r="E584" s="18" t="n"/>
      <c r="F584" s="19">
        <f>IF(OR($B584="",$E584=""),"",IFERROR(IF(AND(INDEX('Intervals'!$G$4:$G$33,MATCH($B584,'Intervals'!$A$4:$A$33,0))&lt;&gt;"No",N(INDEX('Intervals'!$C$4:$C$33,MATCH($B584,'Intervals'!$A$4:$A$33,0)))&gt;0),$E584+N(INDEX('Intervals'!$C$4:$C$33,MATCH($B584,'Intervals'!$A$4:$A$33,0))),""),""))</f>
        <v/>
      </c>
      <c r="G584" s="20">
        <f>IF(OR($B584="",$D584=""),"",IFERROR(IF(AND(INDEX('Intervals'!$G$4:$G$33,MATCH($B584,'Intervals'!$A$4:$A$33,0))&lt;&gt;"No",N(INDEX('Intervals'!$D$4:$D$33,MATCH($B584,'Intervals'!$A$4:$A$33,0)))&gt;0),EDATE($D584,N(INDEX('Intervals'!$D$4:$D$33,MATCH($B584,'Intervals'!$A$4:$A$33,0)))),""),""))</f>
        <v/>
      </c>
      <c r="H584" s="19">
        <f>IF($A584="","",IFERROR(IF(N(INDEX('Cars'!$H$4:$H$103,MATCH($A584,'Cars'!$A$4:$A$103,0)))&gt;0,INDEX('Cars'!$H$4:$H$103,MATCH($A584,'Cars'!$A$4:$A$103,0)),""),""))</f>
        <v/>
      </c>
      <c r="I584" s="19">
        <f>IF(OR($F584="",$H584=""),"",$F584-$H584)</f>
        <v/>
      </c>
      <c r="J584" s="21">
        <f>IF($G584="","",$G584-TODAY())</f>
        <v/>
      </c>
      <c r="K584" s="21">
        <f>IF($I584="","",IFERROR(IF(N(INDEX('Cars'!$J$4:$J$103,MATCH($A584,'Cars'!$A$4:$A$103,0)))&gt;0,ROUND($I584/INDEX('Cars'!$J$4:$J$103,MATCH($A584,'Cars'!$A$4:$A$103,0))*30,0),""),""))</f>
        <v/>
      </c>
      <c r="L584" s="21">
        <f>IF(AND($J584="",$K584=""),"",MIN(IF($J584="",99999,$J584),IF($K584="",99999,$K584)))</f>
        <v/>
      </c>
      <c r="M584" s="16">
        <f>IF(AND($I584="",$J584=""),"",IF(OR(AND($I584&lt;&gt;"",N($I584)&lt;0),AND($J584&lt;&gt;"",N($J584)&lt;0)),"Overdue",IF(OR(AND($I584&lt;&gt;"",N($I584)&lt;=IFERROR(INDEX('Intervals'!$E$4:$E$33,MATCH($B584,'Intervals'!$A$4:$A$33,0)),500)),AND($J584&lt;&gt;"",N($J584)&lt;=IFERROR(INDEX('Intervals'!$F$4:$F$33,MATCH($B584,'Intervals'!$A$4:$A$33,0)),14))),"Due soon","OK")))</f>
        <v/>
      </c>
      <c r="N584" s="15" t="n"/>
      <c r="O584" s="22">
        <f>IF(OR($M584="",$M584="OK"),"",$L584+ROW()/100000)</f>
        <v/>
      </c>
    </row>
    <row r="585">
      <c r="A585" s="15" t="n"/>
      <c r="B585" s="15" t="n"/>
      <c r="C585" s="16">
        <f>IF($B585="","",IFERROR(INDEX('Intervals'!$B$4:$B$33,MATCH($B585,'Intervals'!$A$4:$A$33,0)),""))</f>
        <v/>
      </c>
      <c r="D585" s="17" t="n"/>
      <c r="E585" s="18" t="n"/>
      <c r="F585" s="19">
        <f>IF(OR($B585="",$E585=""),"",IFERROR(IF(AND(INDEX('Intervals'!$G$4:$G$33,MATCH($B585,'Intervals'!$A$4:$A$33,0))&lt;&gt;"No",N(INDEX('Intervals'!$C$4:$C$33,MATCH($B585,'Intervals'!$A$4:$A$33,0)))&gt;0),$E585+N(INDEX('Intervals'!$C$4:$C$33,MATCH($B585,'Intervals'!$A$4:$A$33,0))),""),""))</f>
        <v/>
      </c>
      <c r="G585" s="20">
        <f>IF(OR($B585="",$D585=""),"",IFERROR(IF(AND(INDEX('Intervals'!$G$4:$G$33,MATCH($B585,'Intervals'!$A$4:$A$33,0))&lt;&gt;"No",N(INDEX('Intervals'!$D$4:$D$33,MATCH($B585,'Intervals'!$A$4:$A$33,0)))&gt;0),EDATE($D585,N(INDEX('Intervals'!$D$4:$D$33,MATCH($B585,'Intervals'!$A$4:$A$33,0)))),""),""))</f>
        <v/>
      </c>
      <c r="H585" s="19">
        <f>IF($A585="","",IFERROR(IF(N(INDEX('Cars'!$H$4:$H$103,MATCH($A585,'Cars'!$A$4:$A$103,0)))&gt;0,INDEX('Cars'!$H$4:$H$103,MATCH($A585,'Cars'!$A$4:$A$103,0)),""),""))</f>
        <v/>
      </c>
      <c r="I585" s="19">
        <f>IF(OR($F585="",$H585=""),"",$F585-$H585)</f>
        <v/>
      </c>
      <c r="J585" s="21">
        <f>IF($G585="","",$G585-TODAY())</f>
        <v/>
      </c>
      <c r="K585" s="21">
        <f>IF($I585="","",IFERROR(IF(N(INDEX('Cars'!$J$4:$J$103,MATCH($A585,'Cars'!$A$4:$A$103,0)))&gt;0,ROUND($I585/INDEX('Cars'!$J$4:$J$103,MATCH($A585,'Cars'!$A$4:$A$103,0))*30,0),""),""))</f>
        <v/>
      </c>
      <c r="L585" s="21">
        <f>IF(AND($J585="",$K585=""),"",MIN(IF($J585="",99999,$J585),IF($K585="",99999,$K585)))</f>
        <v/>
      </c>
      <c r="M585" s="16">
        <f>IF(AND($I585="",$J585=""),"",IF(OR(AND($I585&lt;&gt;"",N($I585)&lt;0),AND($J585&lt;&gt;"",N($J585)&lt;0)),"Overdue",IF(OR(AND($I585&lt;&gt;"",N($I585)&lt;=IFERROR(INDEX('Intervals'!$E$4:$E$33,MATCH($B585,'Intervals'!$A$4:$A$33,0)),500)),AND($J585&lt;&gt;"",N($J585)&lt;=IFERROR(INDEX('Intervals'!$F$4:$F$33,MATCH($B585,'Intervals'!$A$4:$A$33,0)),14))),"Due soon","OK")))</f>
        <v/>
      </c>
      <c r="N585" s="15" t="n"/>
      <c r="O585" s="22">
        <f>IF(OR($M585="",$M585="OK"),"",$L585+ROW()/100000)</f>
        <v/>
      </c>
    </row>
    <row r="586">
      <c r="A586" s="15" t="n"/>
      <c r="B586" s="15" t="n"/>
      <c r="C586" s="16">
        <f>IF($B586="","",IFERROR(INDEX('Intervals'!$B$4:$B$33,MATCH($B586,'Intervals'!$A$4:$A$33,0)),""))</f>
        <v/>
      </c>
      <c r="D586" s="17" t="n"/>
      <c r="E586" s="18" t="n"/>
      <c r="F586" s="19">
        <f>IF(OR($B586="",$E586=""),"",IFERROR(IF(AND(INDEX('Intervals'!$G$4:$G$33,MATCH($B586,'Intervals'!$A$4:$A$33,0))&lt;&gt;"No",N(INDEX('Intervals'!$C$4:$C$33,MATCH($B586,'Intervals'!$A$4:$A$33,0)))&gt;0),$E586+N(INDEX('Intervals'!$C$4:$C$33,MATCH($B586,'Intervals'!$A$4:$A$33,0))),""),""))</f>
        <v/>
      </c>
      <c r="G586" s="20">
        <f>IF(OR($B586="",$D586=""),"",IFERROR(IF(AND(INDEX('Intervals'!$G$4:$G$33,MATCH($B586,'Intervals'!$A$4:$A$33,0))&lt;&gt;"No",N(INDEX('Intervals'!$D$4:$D$33,MATCH($B586,'Intervals'!$A$4:$A$33,0)))&gt;0),EDATE($D586,N(INDEX('Intervals'!$D$4:$D$33,MATCH($B586,'Intervals'!$A$4:$A$33,0)))),""),""))</f>
        <v/>
      </c>
      <c r="H586" s="19">
        <f>IF($A586="","",IFERROR(IF(N(INDEX('Cars'!$H$4:$H$103,MATCH($A586,'Cars'!$A$4:$A$103,0)))&gt;0,INDEX('Cars'!$H$4:$H$103,MATCH($A586,'Cars'!$A$4:$A$103,0)),""),""))</f>
        <v/>
      </c>
      <c r="I586" s="19">
        <f>IF(OR($F586="",$H586=""),"",$F586-$H586)</f>
        <v/>
      </c>
      <c r="J586" s="21">
        <f>IF($G586="","",$G586-TODAY())</f>
        <v/>
      </c>
      <c r="K586" s="21">
        <f>IF($I586="","",IFERROR(IF(N(INDEX('Cars'!$J$4:$J$103,MATCH($A586,'Cars'!$A$4:$A$103,0)))&gt;0,ROUND($I586/INDEX('Cars'!$J$4:$J$103,MATCH($A586,'Cars'!$A$4:$A$103,0))*30,0),""),""))</f>
        <v/>
      </c>
      <c r="L586" s="21">
        <f>IF(AND($J586="",$K586=""),"",MIN(IF($J586="",99999,$J586),IF($K586="",99999,$K586)))</f>
        <v/>
      </c>
      <c r="M586" s="16">
        <f>IF(AND($I586="",$J586=""),"",IF(OR(AND($I586&lt;&gt;"",N($I586)&lt;0),AND($J586&lt;&gt;"",N($J586)&lt;0)),"Overdue",IF(OR(AND($I586&lt;&gt;"",N($I586)&lt;=IFERROR(INDEX('Intervals'!$E$4:$E$33,MATCH($B586,'Intervals'!$A$4:$A$33,0)),500)),AND($J586&lt;&gt;"",N($J586)&lt;=IFERROR(INDEX('Intervals'!$F$4:$F$33,MATCH($B586,'Intervals'!$A$4:$A$33,0)),14))),"Due soon","OK")))</f>
        <v/>
      </c>
      <c r="N586" s="15" t="n"/>
      <c r="O586" s="22">
        <f>IF(OR($M586="",$M586="OK"),"",$L586+ROW()/100000)</f>
        <v/>
      </c>
    </row>
    <row r="587">
      <c r="A587" s="15" t="n"/>
      <c r="B587" s="15" t="n"/>
      <c r="C587" s="16">
        <f>IF($B587="","",IFERROR(INDEX('Intervals'!$B$4:$B$33,MATCH($B587,'Intervals'!$A$4:$A$33,0)),""))</f>
        <v/>
      </c>
      <c r="D587" s="17" t="n"/>
      <c r="E587" s="18" t="n"/>
      <c r="F587" s="19">
        <f>IF(OR($B587="",$E587=""),"",IFERROR(IF(AND(INDEX('Intervals'!$G$4:$G$33,MATCH($B587,'Intervals'!$A$4:$A$33,0))&lt;&gt;"No",N(INDEX('Intervals'!$C$4:$C$33,MATCH($B587,'Intervals'!$A$4:$A$33,0)))&gt;0),$E587+N(INDEX('Intervals'!$C$4:$C$33,MATCH($B587,'Intervals'!$A$4:$A$33,0))),""),""))</f>
        <v/>
      </c>
      <c r="G587" s="20">
        <f>IF(OR($B587="",$D587=""),"",IFERROR(IF(AND(INDEX('Intervals'!$G$4:$G$33,MATCH($B587,'Intervals'!$A$4:$A$33,0))&lt;&gt;"No",N(INDEX('Intervals'!$D$4:$D$33,MATCH($B587,'Intervals'!$A$4:$A$33,0)))&gt;0),EDATE($D587,N(INDEX('Intervals'!$D$4:$D$33,MATCH($B587,'Intervals'!$A$4:$A$33,0)))),""),""))</f>
        <v/>
      </c>
      <c r="H587" s="19">
        <f>IF($A587="","",IFERROR(IF(N(INDEX('Cars'!$H$4:$H$103,MATCH($A587,'Cars'!$A$4:$A$103,0)))&gt;0,INDEX('Cars'!$H$4:$H$103,MATCH($A587,'Cars'!$A$4:$A$103,0)),""),""))</f>
        <v/>
      </c>
      <c r="I587" s="19">
        <f>IF(OR($F587="",$H587=""),"",$F587-$H587)</f>
        <v/>
      </c>
      <c r="J587" s="21">
        <f>IF($G587="","",$G587-TODAY())</f>
        <v/>
      </c>
      <c r="K587" s="21">
        <f>IF($I587="","",IFERROR(IF(N(INDEX('Cars'!$J$4:$J$103,MATCH($A587,'Cars'!$A$4:$A$103,0)))&gt;0,ROUND($I587/INDEX('Cars'!$J$4:$J$103,MATCH($A587,'Cars'!$A$4:$A$103,0))*30,0),""),""))</f>
        <v/>
      </c>
      <c r="L587" s="21">
        <f>IF(AND($J587="",$K587=""),"",MIN(IF($J587="",99999,$J587),IF($K587="",99999,$K587)))</f>
        <v/>
      </c>
      <c r="M587" s="16">
        <f>IF(AND($I587="",$J587=""),"",IF(OR(AND($I587&lt;&gt;"",N($I587)&lt;0),AND($J587&lt;&gt;"",N($J587)&lt;0)),"Overdue",IF(OR(AND($I587&lt;&gt;"",N($I587)&lt;=IFERROR(INDEX('Intervals'!$E$4:$E$33,MATCH($B587,'Intervals'!$A$4:$A$33,0)),500)),AND($J587&lt;&gt;"",N($J587)&lt;=IFERROR(INDEX('Intervals'!$F$4:$F$33,MATCH($B587,'Intervals'!$A$4:$A$33,0)),14))),"Due soon","OK")))</f>
        <v/>
      </c>
      <c r="N587" s="15" t="n"/>
      <c r="O587" s="22">
        <f>IF(OR($M587="",$M587="OK"),"",$L587+ROW()/100000)</f>
        <v/>
      </c>
    </row>
    <row r="588">
      <c r="A588" s="15" t="n"/>
      <c r="B588" s="15" t="n"/>
      <c r="C588" s="16">
        <f>IF($B588="","",IFERROR(INDEX('Intervals'!$B$4:$B$33,MATCH($B588,'Intervals'!$A$4:$A$33,0)),""))</f>
        <v/>
      </c>
      <c r="D588" s="17" t="n"/>
      <c r="E588" s="18" t="n"/>
      <c r="F588" s="19">
        <f>IF(OR($B588="",$E588=""),"",IFERROR(IF(AND(INDEX('Intervals'!$G$4:$G$33,MATCH($B588,'Intervals'!$A$4:$A$33,0))&lt;&gt;"No",N(INDEX('Intervals'!$C$4:$C$33,MATCH($B588,'Intervals'!$A$4:$A$33,0)))&gt;0),$E588+N(INDEX('Intervals'!$C$4:$C$33,MATCH($B588,'Intervals'!$A$4:$A$33,0))),""),""))</f>
        <v/>
      </c>
      <c r="G588" s="20">
        <f>IF(OR($B588="",$D588=""),"",IFERROR(IF(AND(INDEX('Intervals'!$G$4:$G$33,MATCH($B588,'Intervals'!$A$4:$A$33,0))&lt;&gt;"No",N(INDEX('Intervals'!$D$4:$D$33,MATCH($B588,'Intervals'!$A$4:$A$33,0)))&gt;0),EDATE($D588,N(INDEX('Intervals'!$D$4:$D$33,MATCH($B588,'Intervals'!$A$4:$A$33,0)))),""),""))</f>
        <v/>
      </c>
      <c r="H588" s="19">
        <f>IF($A588="","",IFERROR(IF(N(INDEX('Cars'!$H$4:$H$103,MATCH($A588,'Cars'!$A$4:$A$103,0)))&gt;0,INDEX('Cars'!$H$4:$H$103,MATCH($A588,'Cars'!$A$4:$A$103,0)),""),""))</f>
        <v/>
      </c>
      <c r="I588" s="19">
        <f>IF(OR($F588="",$H588=""),"",$F588-$H588)</f>
        <v/>
      </c>
      <c r="J588" s="21">
        <f>IF($G588="","",$G588-TODAY())</f>
        <v/>
      </c>
      <c r="K588" s="21">
        <f>IF($I588="","",IFERROR(IF(N(INDEX('Cars'!$J$4:$J$103,MATCH($A588,'Cars'!$A$4:$A$103,0)))&gt;0,ROUND($I588/INDEX('Cars'!$J$4:$J$103,MATCH($A588,'Cars'!$A$4:$A$103,0))*30,0),""),""))</f>
        <v/>
      </c>
      <c r="L588" s="21">
        <f>IF(AND($J588="",$K588=""),"",MIN(IF($J588="",99999,$J588),IF($K588="",99999,$K588)))</f>
        <v/>
      </c>
      <c r="M588" s="16">
        <f>IF(AND($I588="",$J588=""),"",IF(OR(AND($I588&lt;&gt;"",N($I588)&lt;0),AND($J588&lt;&gt;"",N($J588)&lt;0)),"Overdue",IF(OR(AND($I588&lt;&gt;"",N($I588)&lt;=IFERROR(INDEX('Intervals'!$E$4:$E$33,MATCH($B588,'Intervals'!$A$4:$A$33,0)),500)),AND($J588&lt;&gt;"",N($J588)&lt;=IFERROR(INDEX('Intervals'!$F$4:$F$33,MATCH($B588,'Intervals'!$A$4:$A$33,0)),14))),"Due soon","OK")))</f>
        <v/>
      </c>
      <c r="N588" s="15" t="n"/>
      <c r="O588" s="22">
        <f>IF(OR($M588="",$M588="OK"),"",$L588+ROW()/100000)</f>
        <v/>
      </c>
    </row>
    <row r="589">
      <c r="A589" s="15" t="n"/>
      <c r="B589" s="15" t="n"/>
      <c r="C589" s="16">
        <f>IF($B589="","",IFERROR(INDEX('Intervals'!$B$4:$B$33,MATCH($B589,'Intervals'!$A$4:$A$33,0)),""))</f>
        <v/>
      </c>
      <c r="D589" s="17" t="n"/>
      <c r="E589" s="18" t="n"/>
      <c r="F589" s="19">
        <f>IF(OR($B589="",$E589=""),"",IFERROR(IF(AND(INDEX('Intervals'!$G$4:$G$33,MATCH($B589,'Intervals'!$A$4:$A$33,0))&lt;&gt;"No",N(INDEX('Intervals'!$C$4:$C$33,MATCH($B589,'Intervals'!$A$4:$A$33,0)))&gt;0),$E589+N(INDEX('Intervals'!$C$4:$C$33,MATCH($B589,'Intervals'!$A$4:$A$33,0))),""),""))</f>
        <v/>
      </c>
      <c r="G589" s="20">
        <f>IF(OR($B589="",$D589=""),"",IFERROR(IF(AND(INDEX('Intervals'!$G$4:$G$33,MATCH($B589,'Intervals'!$A$4:$A$33,0))&lt;&gt;"No",N(INDEX('Intervals'!$D$4:$D$33,MATCH($B589,'Intervals'!$A$4:$A$33,0)))&gt;0),EDATE($D589,N(INDEX('Intervals'!$D$4:$D$33,MATCH($B589,'Intervals'!$A$4:$A$33,0)))),""),""))</f>
        <v/>
      </c>
      <c r="H589" s="19">
        <f>IF($A589="","",IFERROR(IF(N(INDEX('Cars'!$H$4:$H$103,MATCH($A589,'Cars'!$A$4:$A$103,0)))&gt;0,INDEX('Cars'!$H$4:$H$103,MATCH($A589,'Cars'!$A$4:$A$103,0)),""),""))</f>
        <v/>
      </c>
      <c r="I589" s="19">
        <f>IF(OR($F589="",$H589=""),"",$F589-$H589)</f>
        <v/>
      </c>
      <c r="J589" s="21">
        <f>IF($G589="","",$G589-TODAY())</f>
        <v/>
      </c>
      <c r="K589" s="21">
        <f>IF($I589="","",IFERROR(IF(N(INDEX('Cars'!$J$4:$J$103,MATCH($A589,'Cars'!$A$4:$A$103,0)))&gt;0,ROUND($I589/INDEX('Cars'!$J$4:$J$103,MATCH($A589,'Cars'!$A$4:$A$103,0))*30,0),""),""))</f>
        <v/>
      </c>
      <c r="L589" s="21">
        <f>IF(AND($J589="",$K589=""),"",MIN(IF($J589="",99999,$J589),IF($K589="",99999,$K589)))</f>
        <v/>
      </c>
      <c r="M589" s="16">
        <f>IF(AND($I589="",$J589=""),"",IF(OR(AND($I589&lt;&gt;"",N($I589)&lt;0),AND($J589&lt;&gt;"",N($J589)&lt;0)),"Overdue",IF(OR(AND($I589&lt;&gt;"",N($I589)&lt;=IFERROR(INDEX('Intervals'!$E$4:$E$33,MATCH($B589,'Intervals'!$A$4:$A$33,0)),500)),AND($J589&lt;&gt;"",N($J589)&lt;=IFERROR(INDEX('Intervals'!$F$4:$F$33,MATCH($B589,'Intervals'!$A$4:$A$33,0)),14))),"Due soon","OK")))</f>
        <v/>
      </c>
      <c r="N589" s="15" t="n"/>
      <c r="O589" s="22">
        <f>IF(OR($M589="",$M589="OK"),"",$L589+ROW()/100000)</f>
        <v/>
      </c>
    </row>
    <row r="590">
      <c r="A590" s="15" t="n"/>
      <c r="B590" s="15" t="n"/>
      <c r="C590" s="16">
        <f>IF($B590="","",IFERROR(INDEX('Intervals'!$B$4:$B$33,MATCH($B590,'Intervals'!$A$4:$A$33,0)),""))</f>
        <v/>
      </c>
      <c r="D590" s="17" t="n"/>
      <c r="E590" s="18" t="n"/>
      <c r="F590" s="19">
        <f>IF(OR($B590="",$E590=""),"",IFERROR(IF(AND(INDEX('Intervals'!$G$4:$G$33,MATCH($B590,'Intervals'!$A$4:$A$33,0))&lt;&gt;"No",N(INDEX('Intervals'!$C$4:$C$33,MATCH($B590,'Intervals'!$A$4:$A$33,0)))&gt;0),$E590+N(INDEX('Intervals'!$C$4:$C$33,MATCH($B590,'Intervals'!$A$4:$A$33,0))),""),""))</f>
        <v/>
      </c>
      <c r="G590" s="20">
        <f>IF(OR($B590="",$D590=""),"",IFERROR(IF(AND(INDEX('Intervals'!$G$4:$G$33,MATCH($B590,'Intervals'!$A$4:$A$33,0))&lt;&gt;"No",N(INDEX('Intervals'!$D$4:$D$33,MATCH($B590,'Intervals'!$A$4:$A$33,0)))&gt;0),EDATE($D590,N(INDEX('Intervals'!$D$4:$D$33,MATCH($B590,'Intervals'!$A$4:$A$33,0)))),""),""))</f>
        <v/>
      </c>
      <c r="H590" s="19">
        <f>IF($A590="","",IFERROR(IF(N(INDEX('Cars'!$H$4:$H$103,MATCH($A590,'Cars'!$A$4:$A$103,0)))&gt;0,INDEX('Cars'!$H$4:$H$103,MATCH($A590,'Cars'!$A$4:$A$103,0)),""),""))</f>
        <v/>
      </c>
      <c r="I590" s="19">
        <f>IF(OR($F590="",$H590=""),"",$F590-$H590)</f>
        <v/>
      </c>
      <c r="J590" s="21">
        <f>IF($G590="","",$G590-TODAY())</f>
        <v/>
      </c>
      <c r="K590" s="21">
        <f>IF($I590="","",IFERROR(IF(N(INDEX('Cars'!$J$4:$J$103,MATCH($A590,'Cars'!$A$4:$A$103,0)))&gt;0,ROUND($I590/INDEX('Cars'!$J$4:$J$103,MATCH($A590,'Cars'!$A$4:$A$103,0))*30,0),""),""))</f>
        <v/>
      </c>
      <c r="L590" s="21">
        <f>IF(AND($J590="",$K590=""),"",MIN(IF($J590="",99999,$J590),IF($K590="",99999,$K590)))</f>
        <v/>
      </c>
      <c r="M590" s="16">
        <f>IF(AND($I590="",$J590=""),"",IF(OR(AND($I590&lt;&gt;"",N($I590)&lt;0),AND($J590&lt;&gt;"",N($J590)&lt;0)),"Overdue",IF(OR(AND($I590&lt;&gt;"",N($I590)&lt;=IFERROR(INDEX('Intervals'!$E$4:$E$33,MATCH($B590,'Intervals'!$A$4:$A$33,0)),500)),AND($J590&lt;&gt;"",N($J590)&lt;=IFERROR(INDEX('Intervals'!$F$4:$F$33,MATCH($B590,'Intervals'!$A$4:$A$33,0)),14))),"Due soon","OK")))</f>
        <v/>
      </c>
      <c r="N590" s="15" t="n"/>
      <c r="O590" s="22">
        <f>IF(OR($M590="",$M590="OK"),"",$L590+ROW()/100000)</f>
        <v/>
      </c>
    </row>
    <row r="591">
      <c r="A591" s="15" t="n"/>
      <c r="B591" s="15" t="n"/>
      <c r="C591" s="16">
        <f>IF($B591="","",IFERROR(INDEX('Intervals'!$B$4:$B$33,MATCH($B591,'Intervals'!$A$4:$A$33,0)),""))</f>
        <v/>
      </c>
      <c r="D591" s="17" t="n"/>
      <c r="E591" s="18" t="n"/>
      <c r="F591" s="19">
        <f>IF(OR($B591="",$E591=""),"",IFERROR(IF(AND(INDEX('Intervals'!$G$4:$G$33,MATCH($B591,'Intervals'!$A$4:$A$33,0))&lt;&gt;"No",N(INDEX('Intervals'!$C$4:$C$33,MATCH($B591,'Intervals'!$A$4:$A$33,0)))&gt;0),$E591+N(INDEX('Intervals'!$C$4:$C$33,MATCH($B591,'Intervals'!$A$4:$A$33,0))),""),""))</f>
        <v/>
      </c>
      <c r="G591" s="20">
        <f>IF(OR($B591="",$D591=""),"",IFERROR(IF(AND(INDEX('Intervals'!$G$4:$G$33,MATCH($B591,'Intervals'!$A$4:$A$33,0))&lt;&gt;"No",N(INDEX('Intervals'!$D$4:$D$33,MATCH($B591,'Intervals'!$A$4:$A$33,0)))&gt;0),EDATE($D591,N(INDEX('Intervals'!$D$4:$D$33,MATCH($B591,'Intervals'!$A$4:$A$33,0)))),""),""))</f>
        <v/>
      </c>
      <c r="H591" s="19">
        <f>IF($A591="","",IFERROR(IF(N(INDEX('Cars'!$H$4:$H$103,MATCH($A591,'Cars'!$A$4:$A$103,0)))&gt;0,INDEX('Cars'!$H$4:$H$103,MATCH($A591,'Cars'!$A$4:$A$103,0)),""),""))</f>
        <v/>
      </c>
      <c r="I591" s="19">
        <f>IF(OR($F591="",$H591=""),"",$F591-$H591)</f>
        <v/>
      </c>
      <c r="J591" s="21">
        <f>IF($G591="","",$G591-TODAY())</f>
        <v/>
      </c>
      <c r="K591" s="21">
        <f>IF($I591="","",IFERROR(IF(N(INDEX('Cars'!$J$4:$J$103,MATCH($A591,'Cars'!$A$4:$A$103,0)))&gt;0,ROUND($I591/INDEX('Cars'!$J$4:$J$103,MATCH($A591,'Cars'!$A$4:$A$103,0))*30,0),""),""))</f>
        <v/>
      </c>
      <c r="L591" s="21">
        <f>IF(AND($J591="",$K591=""),"",MIN(IF($J591="",99999,$J591),IF($K591="",99999,$K591)))</f>
        <v/>
      </c>
      <c r="M591" s="16">
        <f>IF(AND($I591="",$J591=""),"",IF(OR(AND($I591&lt;&gt;"",N($I591)&lt;0),AND($J591&lt;&gt;"",N($J591)&lt;0)),"Overdue",IF(OR(AND($I591&lt;&gt;"",N($I591)&lt;=IFERROR(INDEX('Intervals'!$E$4:$E$33,MATCH($B591,'Intervals'!$A$4:$A$33,0)),500)),AND($J591&lt;&gt;"",N($J591)&lt;=IFERROR(INDEX('Intervals'!$F$4:$F$33,MATCH($B591,'Intervals'!$A$4:$A$33,0)),14))),"Due soon","OK")))</f>
        <v/>
      </c>
      <c r="N591" s="15" t="n"/>
      <c r="O591" s="22">
        <f>IF(OR($M591="",$M591="OK"),"",$L591+ROW()/100000)</f>
        <v/>
      </c>
    </row>
    <row r="592">
      <c r="A592" s="15" t="n"/>
      <c r="B592" s="15" t="n"/>
      <c r="C592" s="16">
        <f>IF($B592="","",IFERROR(INDEX('Intervals'!$B$4:$B$33,MATCH($B592,'Intervals'!$A$4:$A$33,0)),""))</f>
        <v/>
      </c>
      <c r="D592" s="17" t="n"/>
      <c r="E592" s="18" t="n"/>
      <c r="F592" s="19">
        <f>IF(OR($B592="",$E592=""),"",IFERROR(IF(AND(INDEX('Intervals'!$G$4:$G$33,MATCH($B592,'Intervals'!$A$4:$A$33,0))&lt;&gt;"No",N(INDEX('Intervals'!$C$4:$C$33,MATCH($B592,'Intervals'!$A$4:$A$33,0)))&gt;0),$E592+N(INDEX('Intervals'!$C$4:$C$33,MATCH($B592,'Intervals'!$A$4:$A$33,0))),""),""))</f>
        <v/>
      </c>
      <c r="G592" s="20">
        <f>IF(OR($B592="",$D592=""),"",IFERROR(IF(AND(INDEX('Intervals'!$G$4:$G$33,MATCH($B592,'Intervals'!$A$4:$A$33,0))&lt;&gt;"No",N(INDEX('Intervals'!$D$4:$D$33,MATCH($B592,'Intervals'!$A$4:$A$33,0)))&gt;0),EDATE($D592,N(INDEX('Intervals'!$D$4:$D$33,MATCH($B592,'Intervals'!$A$4:$A$33,0)))),""),""))</f>
        <v/>
      </c>
      <c r="H592" s="19">
        <f>IF($A592="","",IFERROR(IF(N(INDEX('Cars'!$H$4:$H$103,MATCH($A592,'Cars'!$A$4:$A$103,0)))&gt;0,INDEX('Cars'!$H$4:$H$103,MATCH($A592,'Cars'!$A$4:$A$103,0)),""),""))</f>
        <v/>
      </c>
      <c r="I592" s="19">
        <f>IF(OR($F592="",$H592=""),"",$F592-$H592)</f>
        <v/>
      </c>
      <c r="J592" s="21">
        <f>IF($G592="","",$G592-TODAY())</f>
        <v/>
      </c>
      <c r="K592" s="21">
        <f>IF($I592="","",IFERROR(IF(N(INDEX('Cars'!$J$4:$J$103,MATCH($A592,'Cars'!$A$4:$A$103,0)))&gt;0,ROUND($I592/INDEX('Cars'!$J$4:$J$103,MATCH($A592,'Cars'!$A$4:$A$103,0))*30,0),""),""))</f>
        <v/>
      </c>
      <c r="L592" s="21">
        <f>IF(AND($J592="",$K592=""),"",MIN(IF($J592="",99999,$J592),IF($K592="",99999,$K592)))</f>
        <v/>
      </c>
      <c r="M592" s="16">
        <f>IF(AND($I592="",$J592=""),"",IF(OR(AND($I592&lt;&gt;"",N($I592)&lt;0),AND($J592&lt;&gt;"",N($J592)&lt;0)),"Overdue",IF(OR(AND($I592&lt;&gt;"",N($I592)&lt;=IFERROR(INDEX('Intervals'!$E$4:$E$33,MATCH($B592,'Intervals'!$A$4:$A$33,0)),500)),AND($J592&lt;&gt;"",N($J592)&lt;=IFERROR(INDEX('Intervals'!$F$4:$F$33,MATCH($B592,'Intervals'!$A$4:$A$33,0)),14))),"Due soon","OK")))</f>
        <v/>
      </c>
      <c r="N592" s="15" t="n"/>
      <c r="O592" s="22">
        <f>IF(OR($M592="",$M592="OK"),"",$L592+ROW()/100000)</f>
        <v/>
      </c>
    </row>
    <row r="593">
      <c r="A593" s="15" t="n"/>
      <c r="B593" s="15" t="n"/>
      <c r="C593" s="16">
        <f>IF($B593="","",IFERROR(INDEX('Intervals'!$B$4:$B$33,MATCH($B593,'Intervals'!$A$4:$A$33,0)),""))</f>
        <v/>
      </c>
      <c r="D593" s="17" t="n"/>
      <c r="E593" s="18" t="n"/>
      <c r="F593" s="19">
        <f>IF(OR($B593="",$E593=""),"",IFERROR(IF(AND(INDEX('Intervals'!$G$4:$G$33,MATCH($B593,'Intervals'!$A$4:$A$33,0))&lt;&gt;"No",N(INDEX('Intervals'!$C$4:$C$33,MATCH($B593,'Intervals'!$A$4:$A$33,0)))&gt;0),$E593+N(INDEX('Intervals'!$C$4:$C$33,MATCH($B593,'Intervals'!$A$4:$A$33,0))),""),""))</f>
        <v/>
      </c>
      <c r="G593" s="20">
        <f>IF(OR($B593="",$D593=""),"",IFERROR(IF(AND(INDEX('Intervals'!$G$4:$G$33,MATCH($B593,'Intervals'!$A$4:$A$33,0))&lt;&gt;"No",N(INDEX('Intervals'!$D$4:$D$33,MATCH($B593,'Intervals'!$A$4:$A$33,0)))&gt;0),EDATE($D593,N(INDEX('Intervals'!$D$4:$D$33,MATCH($B593,'Intervals'!$A$4:$A$33,0)))),""),""))</f>
        <v/>
      </c>
      <c r="H593" s="19">
        <f>IF($A593="","",IFERROR(IF(N(INDEX('Cars'!$H$4:$H$103,MATCH($A593,'Cars'!$A$4:$A$103,0)))&gt;0,INDEX('Cars'!$H$4:$H$103,MATCH($A593,'Cars'!$A$4:$A$103,0)),""),""))</f>
        <v/>
      </c>
      <c r="I593" s="19">
        <f>IF(OR($F593="",$H593=""),"",$F593-$H593)</f>
        <v/>
      </c>
      <c r="J593" s="21">
        <f>IF($G593="","",$G593-TODAY())</f>
        <v/>
      </c>
      <c r="K593" s="21">
        <f>IF($I593="","",IFERROR(IF(N(INDEX('Cars'!$J$4:$J$103,MATCH($A593,'Cars'!$A$4:$A$103,0)))&gt;0,ROUND($I593/INDEX('Cars'!$J$4:$J$103,MATCH($A593,'Cars'!$A$4:$A$103,0))*30,0),""),""))</f>
        <v/>
      </c>
      <c r="L593" s="21">
        <f>IF(AND($J593="",$K593=""),"",MIN(IF($J593="",99999,$J593),IF($K593="",99999,$K593)))</f>
        <v/>
      </c>
      <c r="M593" s="16">
        <f>IF(AND($I593="",$J593=""),"",IF(OR(AND($I593&lt;&gt;"",N($I593)&lt;0),AND($J593&lt;&gt;"",N($J593)&lt;0)),"Overdue",IF(OR(AND($I593&lt;&gt;"",N($I593)&lt;=IFERROR(INDEX('Intervals'!$E$4:$E$33,MATCH($B593,'Intervals'!$A$4:$A$33,0)),500)),AND($J593&lt;&gt;"",N($J593)&lt;=IFERROR(INDEX('Intervals'!$F$4:$F$33,MATCH($B593,'Intervals'!$A$4:$A$33,0)),14))),"Due soon","OK")))</f>
        <v/>
      </c>
      <c r="N593" s="15" t="n"/>
      <c r="O593" s="22">
        <f>IF(OR($M593="",$M593="OK"),"",$L593+ROW()/100000)</f>
        <v/>
      </c>
    </row>
    <row r="594">
      <c r="A594" s="15" t="n"/>
      <c r="B594" s="15" t="n"/>
      <c r="C594" s="16">
        <f>IF($B594="","",IFERROR(INDEX('Intervals'!$B$4:$B$33,MATCH($B594,'Intervals'!$A$4:$A$33,0)),""))</f>
        <v/>
      </c>
      <c r="D594" s="17" t="n"/>
      <c r="E594" s="18" t="n"/>
      <c r="F594" s="19">
        <f>IF(OR($B594="",$E594=""),"",IFERROR(IF(AND(INDEX('Intervals'!$G$4:$G$33,MATCH($B594,'Intervals'!$A$4:$A$33,0))&lt;&gt;"No",N(INDEX('Intervals'!$C$4:$C$33,MATCH($B594,'Intervals'!$A$4:$A$33,0)))&gt;0),$E594+N(INDEX('Intervals'!$C$4:$C$33,MATCH($B594,'Intervals'!$A$4:$A$33,0))),""),""))</f>
        <v/>
      </c>
      <c r="G594" s="20">
        <f>IF(OR($B594="",$D594=""),"",IFERROR(IF(AND(INDEX('Intervals'!$G$4:$G$33,MATCH($B594,'Intervals'!$A$4:$A$33,0))&lt;&gt;"No",N(INDEX('Intervals'!$D$4:$D$33,MATCH($B594,'Intervals'!$A$4:$A$33,0)))&gt;0),EDATE($D594,N(INDEX('Intervals'!$D$4:$D$33,MATCH($B594,'Intervals'!$A$4:$A$33,0)))),""),""))</f>
        <v/>
      </c>
      <c r="H594" s="19">
        <f>IF($A594="","",IFERROR(IF(N(INDEX('Cars'!$H$4:$H$103,MATCH($A594,'Cars'!$A$4:$A$103,0)))&gt;0,INDEX('Cars'!$H$4:$H$103,MATCH($A594,'Cars'!$A$4:$A$103,0)),""),""))</f>
        <v/>
      </c>
      <c r="I594" s="19">
        <f>IF(OR($F594="",$H594=""),"",$F594-$H594)</f>
        <v/>
      </c>
      <c r="J594" s="21">
        <f>IF($G594="","",$G594-TODAY())</f>
        <v/>
      </c>
      <c r="K594" s="21">
        <f>IF($I594="","",IFERROR(IF(N(INDEX('Cars'!$J$4:$J$103,MATCH($A594,'Cars'!$A$4:$A$103,0)))&gt;0,ROUND($I594/INDEX('Cars'!$J$4:$J$103,MATCH($A594,'Cars'!$A$4:$A$103,0))*30,0),""),""))</f>
        <v/>
      </c>
      <c r="L594" s="21">
        <f>IF(AND($J594="",$K594=""),"",MIN(IF($J594="",99999,$J594),IF($K594="",99999,$K594)))</f>
        <v/>
      </c>
      <c r="M594" s="16">
        <f>IF(AND($I594="",$J594=""),"",IF(OR(AND($I594&lt;&gt;"",N($I594)&lt;0),AND($J594&lt;&gt;"",N($J594)&lt;0)),"Overdue",IF(OR(AND($I594&lt;&gt;"",N($I594)&lt;=IFERROR(INDEX('Intervals'!$E$4:$E$33,MATCH($B594,'Intervals'!$A$4:$A$33,0)),500)),AND($J594&lt;&gt;"",N($J594)&lt;=IFERROR(INDEX('Intervals'!$F$4:$F$33,MATCH($B594,'Intervals'!$A$4:$A$33,0)),14))),"Due soon","OK")))</f>
        <v/>
      </c>
      <c r="N594" s="15" t="n"/>
      <c r="O594" s="22">
        <f>IF(OR($M594="",$M594="OK"),"",$L594+ROW()/100000)</f>
        <v/>
      </c>
    </row>
    <row r="595">
      <c r="A595" s="15" t="n"/>
      <c r="B595" s="15" t="n"/>
      <c r="C595" s="16">
        <f>IF($B595="","",IFERROR(INDEX('Intervals'!$B$4:$B$33,MATCH($B595,'Intervals'!$A$4:$A$33,0)),""))</f>
        <v/>
      </c>
      <c r="D595" s="17" t="n"/>
      <c r="E595" s="18" t="n"/>
      <c r="F595" s="19">
        <f>IF(OR($B595="",$E595=""),"",IFERROR(IF(AND(INDEX('Intervals'!$G$4:$G$33,MATCH($B595,'Intervals'!$A$4:$A$33,0))&lt;&gt;"No",N(INDEX('Intervals'!$C$4:$C$33,MATCH($B595,'Intervals'!$A$4:$A$33,0)))&gt;0),$E595+N(INDEX('Intervals'!$C$4:$C$33,MATCH($B595,'Intervals'!$A$4:$A$33,0))),""),""))</f>
        <v/>
      </c>
      <c r="G595" s="20">
        <f>IF(OR($B595="",$D595=""),"",IFERROR(IF(AND(INDEX('Intervals'!$G$4:$G$33,MATCH($B595,'Intervals'!$A$4:$A$33,0))&lt;&gt;"No",N(INDEX('Intervals'!$D$4:$D$33,MATCH($B595,'Intervals'!$A$4:$A$33,0)))&gt;0),EDATE($D595,N(INDEX('Intervals'!$D$4:$D$33,MATCH($B595,'Intervals'!$A$4:$A$33,0)))),""),""))</f>
        <v/>
      </c>
      <c r="H595" s="19">
        <f>IF($A595="","",IFERROR(IF(N(INDEX('Cars'!$H$4:$H$103,MATCH($A595,'Cars'!$A$4:$A$103,0)))&gt;0,INDEX('Cars'!$H$4:$H$103,MATCH($A595,'Cars'!$A$4:$A$103,0)),""),""))</f>
        <v/>
      </c>
      <c r="I595" s="19">
        <f>IF(OR($F595="",$H595=""),"",$F595-$H595)</f>
        <v/>
      </c>
      <c r="J595" s="21">
        <f>IF($G595="","",$G595-TODAY())</f>
        <v/>
      </c>
      <c r="K595" s="21">
        <f>IF($I595="","",IFERROR(IF(N(INDEX('Cars'!$J$4:$J$103,MATCH($A595,'Cars'!$A$4:$A$103,0)))&gt;0,ROUND($I595/INDEX('Cars'!$J$4:$J$103,MATCH($A595,'Cars'!$A$4:$A$103,0))*30,0),""),""))</f>
        <v/>
      </c>
      <c r="L595" s="21">
        <f>IF(AND($J595="",$K595=""),"",MIN(IF($J595="",99999,$J595),IF($K595="",99999,$K595)))</f>
        <v/>
      </c>
      <c r="M595" s="16">
        <f>IF(AND($I595="",$J595=""),"",IF(OR(AND($I595&lt;&gt;"",N($I595)&lt;0),AND($J595&lt;&gt;"",N($J595)&lt;0)),"Overdue",IF(OR(AND($I595&lt;&gt;"",N($I595)&lt;=IFERROR(INDEX('Intervals'!$E$4:$E$33,MATCH($B595,'Intervals'!$A$4:$A$33,0)),500)),AND($J595&lt;&gt;"",N($J595)&lt;=IFERROR(INDEX('Intervals'!$F$4:$F$33,MATCH($B595,'Intervals'!$A$4:$A$33,0)),14))),"Due soon","OK")))</f>
        <v/>
      </c>
      <c r="N595" s="15" t="n"/>
      <c r="O595" s="22">
        <f>IF(OR($M595="",$M595="OK"),"",$L595+ROW()/100000)</f>
        <v/>
      </c>
    </row>
    <row r="596">
      <c r="A596" s="15" t="n"/>
      <c r="B596" s="15" t="n"/>
      <c r="C596" s="16">
        <f>IF($B596="","",IFERROR(INDEX('Intervals'!$B$4:$B$33,MATCH($B596,'Intervals'!$A$4:$A$33,0)),""))</f>
        <v/>
      </c>
      <c r="D596" s="17" t="n"/>
      <c r="E596" s="18" t="n"/>
      <c r="F596" s="19">
        <f>IF(OR($B596="",$E596=""),"",IFERROR(IF(AND(INDEX('Intervals'!$G$4:$G$33,MATCH($B596,'Intervals'!$A$4:$A$33,0))&lt;&gt;"No",N(INDEX('Intervals'!$C$4:$C$33,MATCH($B596,'Intervals'!$A$4:$A$33,0)))&gt;0),$E596+N(INDEX('Intervals'!$C$4:$C$33,MATCH($B596,'Intervals'!$A$4:$A$33,0))),""),""))</f>
        <v/>
      </c>
      <c r="G596" s="20">
        <f>IF(OR($B596="",$D596=""),"",IFERROR(IF(AND(INDEX('Intervals'!$G$4:$G$33,MATCH($B596,'Intervals'!$A$4:$A$33,0))&lt;&gt;"No",N(INDEX('Intervals'!$D$4:$D$33,MATCH($B596,'Intervals'!$A$4:$A$33,0)))&gt;0),EDATE($D596,N(INDEX('Intervals'!$D$4:$D$33,MATCH($B596,'Intervals'!$A$4:$A$33,0)))),""),""))</f>
        <v/>
      </c>
      <c r="H596" s="19">
        <f>IF($A596="","",IFERROR(IF(N(INDEX('Cars'!$H$4:$H$103,MATCH($A596,'Cars'!$A$4:$A$103,0)))&gt;0,INDEX('Cars'!$H$4:$H$103,MATCH($A596,'Cars'!$A$4:$A$103,0)),""),""))</f>
        <v/>
      </c>
      <c r="I596" s="19">
        <f>IF(OR($F596="",$H596=""),"",$F596-$H596)</f>
        <v/>
      </c>
      <c r="J596" s="21">
        <f>IF($G596="","",$G596-TODAY())</f>
        <v/>
      </c>
      <c r="K596" s="21">
        <f>IF($I596="","",IFERROR(IF(N(INDEX('Cars'!$J$4:$J$103,MATCH($A596,'Cars'!$A$4:$A$103,0)))&gt;0,ROUND($I596/INDEX('Cars'!$J$4:$J$103,MATCH($A596,'Cars'!$A$4:$A$103,0))*30,0),""),""))</f>
        <v/>
      </c>
      <c r="L596" s="21">
        <f>IF(AND($J596="",$K596=""),"",MIN(IF($J596="",99999,$J596),IF($K596="",99999,$K596)))</f>
        <v/>
      </c>
      <c r="M596" s="16">
        <f>IF(AND($I596="",$J596=""),"",IF(OR(AND($I596&lt;&gt;"",N($I596)&lt;0),AND($J596&lt;&gt;"",N($J596)&lt;0)),"Overdue",IF(OR(AND($I596&lt;&gt;"",N($I596)&lt;=IFERROR(INDEX('Intervals'!$E$4:$E$33,MATCH($B596,'Intervals'!$A$4:$A$33,0)),500)),AND($J596&lt;&gt;"",N($J596)&lt;=IFERROR(INDEX('Intervals'!$F$4:$F$33,MATCH($B596,'Intervals'!$A$4:$A$33,0)),14))),"Due soon","OK")))</f>
        <v/>
      </c>
      <c r="N596" s="15" t="n"/>
      <c r="O596" s="22">
        <f>IF(OR($M596="",$M596="OK"),"",$L596+ROW()/100000)</f>
        <v/>
      </c>
    </row>
    <row r="597">
      <c r="A597" s="15" t="n"/>
      <c r="B597" s="15" t="n"/>
      <c r="C597" s="16">
        <f>IF($B597="","",IFERROR(INDEX('Intervals'!$B$4:$B$33,MATCH($B597,'Intervals'!$A$4:$A$33,0)),""))</f>
        <v/>
      </c>
      <c r="D597" s="17" t="n"/>
      <c r="E597" s="18" t="n"/>
      <c r="F597" s="19">
        <f>IF(OR($B597="",$E597=""),"",IFERROR(IF(AND(INDEX('Intervals'!$G$4:$G$33,MATCH($B597,'Intervals'!$A$4:$A$33,0))&lt;&gt;"No",N(INDEX('Intervals'!$C$4:$C$33,MATCH($B597,'Intervals'!$A$4:$A$33,0)))&gt;0),$E597+N(INDEX('Intervals'!$C$4:$C$33,MATCH($B597,'Intervals'!$A$4:$A$33,0))),""),""))</f>
        <v/>
      </c>
      <c r="G597" s="20">
        <f>IF(OR($B597="",$D597=""),"",IFERROR(IF(AND(INDEX('Intervals'!$G$4:$G$33,MATCH($B597,'Intervals'!$A$4:$A$33,0))&lt;&gt;"No",N(INDEX('Intervals'!$D$4:$D$33,MATCH($B597,'Intervals'!$A$4:$A$33,0)))&gt;0),EDATE($D597,N(INDEX('Intervals'!$D$4:$D$33,MATCH($B597,'Intervals'!$A$4:$A$33,0)))),""),""))</f>
        <v/>
      </c>
      <c r="H597" s="19">
        <f>IF($A597="","",IFERROR(IF(N(INDEX('Cars'!$H$4:$H$103,MATCH($A597,'Cars'!$A$4:$A$103,0)))&gt;0,INDEX('Cars'!$H$4:$H$103,MATCH($A597,'Cars'!$A$4:$A$103,0)),""),""))</f>
        <v/>
      </c>
      <c r="I597" s="19">
        <f>IF(OR($F597="",$H597=""),"",$F597-$H597)</f>
        <v/>
      </c>
      <c r="J597" s="21">
        <f>IF($G597="","",$G597-TODAY())</f>
        <v/>
      </c>
      <c r="K597" s="21">
        <f>IF($I597="","",IFERROR(IF(N(INDEX('Cars'!$J$4:$J$103,MATCH($A597,'Cars'!$A$4:$A$103,0)))&gt;0,ROUND($I597/INDEX('Cars'!$J$4:$J$103,MATCH($A597,'Cars'!$A$4:$A$103,0))*30,0),""),""))</f>
        <v/>
      </c>
      <c r="L597" s="21">
        <f>IF(AND($J597="",$K597=""),"",MIN(IF($J597="",99999,$J597),IF($K597="",99999,$K597)))</f>
        <v/>
      </c>
      <c r="M597" s="16">
        <f>IF(AND($I597="",$J597=""),"",IF(OR(AND($I597&lt;&gt;"",N($I597)&lt;0),AND($J597&lt;&gt;"",N($J597)&lt;0)),"Overdue",IF(OR(AND($I597&lt;&gt;"",N($I597)&lt;=IFERROR(INDEX('Intervals'!$E$4:$E$33,MATCH($B597,'Intervals'!$A$4:$A$33,0)),500)),AND($J597&lt;&gt;"",N($J597)&lt;=IFERROR(INDEX('Intervals'!$F$4:$F$33,MATCH($B597,'Intervals'!$A$4:$A$33,0)),14))),"Due soon","OK")))</f>
        <v/>
      </c>
      <c r="N597" s="15" t="n"/>
      <c r="O597" s="22">
        <f>IF(OR($M597="",$M597="OK"),"",$L597+ROW()/100000)</f>
        <v/>
      </c>
    </row>
    <row r="598">
      <c r="A598" s="15" t="n"/>
      <c r="B598" s="15" t="n"/>
      <c r="C598" s="16">
        <f>IF($B598="","",IFERROR(INDEX('Intervals'!$B$4:$B$33,MATCH($B598,'Intervals'!$A$4:$A$33,0)),""))</f>
        <v/>
      </c>
      <c r="D598" s="17" t="n"/>
      <c r="E598" s="18" t="n"/>
      <c r="F598" s="19">
        <f>IF(OR($B598="",$E598=""),"",IFERROR(IF(AND(INDEX('Intervals'!$G$4:$G$33,MATCH($B598,'Intervals'!$A$4:$A$33,0))&lt;&gt;"No",N(INDEX('Intervals'!$C$4:$C$33,MATCH($B598,'Intervals'!$A$4:$A$33,0)))&gt;0),$E598+N(INDEX('Intervals'!$C$4:$C$33,MATCH($B598,'Intervals'!$A$4:$A$33,0))),""),""))</f>
        <v/>
      </c>
      <c r="G598" s="20">
        <f>IF(OR($B598="",$D598=""),"",IFERROR(IF(AND(INDEX('Intervals'!$G$4:$G$33,MATCH($B598,'Intervals'!$A$4:$A$33,0))&lt;&gt;"No",N(INDEX('Intervals'!$D$4:$D$33,MATCH($B598,'Intervals'!$A$4:$A$33,0)))&gt;0),EDATE($D598,N(INDEX('Intervals'!$D$4:$D$33,MATCH($B598,'Intervals'!$A$4:$A$33,0)))),""),""))</f>
        <v/>
      </c>
      <c r="H598" s="19">
        <f>IF($A598="","",IFERROR(IF(N(INDEX('Cars'!$H$4:$H$103,MATCH($A598,'Cars'!$A$4:$A$103,0)))&gt;0,INDEX('Cars'!$H$4:$H$103,MATCH($A598,'Cars'!$A$4:$A$103,0)),""),""))</f>
        <v/>
      </c>
      <c r="I598" s="19">
        <f>IF(OR($F598="",$H598=""),"",$F598-$H598)</f>
        <v/>
      </c>
      <c r="J598" s="21">
        <f>IF($G598="","",$G598-TODAY())</f>
        <v/>
      </c>
      <c r="K598" s="21">
        <f>IF($I598="","",IFERROR(IF(N(INDEX('Cars'!$J$4:$J$103,MATCH($A598,'Cars'!$A$4:$A$103,0)))&gt;0,ROUND($I598/INDEX('Cars'!$J$4:$J$103,MATCH($A598,'Cars'!$A$4:$A$103,0))*30,0),""),""))</f>
        <v/>
      </c>
      <c r="L598" s="21">
        <f>IF(AND($J598="",$K598=""),"",MIN(IF($J598="",99999,$J598),IF($K598="",99999,$K598)))</f>
        <v/>
      </c>
      <c r="M598" s="16">
        <f>IF(AND($I598="",$J598=""),"",IF(OR(AND($I598&lt;&gt;"",N($I598)&lt;0),AND($J598&lt;&gt;"",N($J598)&lt;0)),"Overdue",IF(OR(AND($I598&lt;&gt;"",N($I598)&lt;=IFERROR(INDEX('Intervals'!$E$4:$E$33,MATCH($B598,'Intervals'!$A$4:$A$33,0)),500)),AND($J598&lt;&gt;"",N($J598)&lt;=IFERROR(INDEX('Intervals'!$F$4:$F$33,MATCH($B598,'Intervals'!$A$4:$A$33,0)),14))),"Due soon","OK")))</f>
        <v/>
      </c>
      <c r="N598" s="15" t="n"/>
      <c r="O598" s="22">
        <f>IF(OR($M598="",$M598="OK"),"",$L598+ROW()/100000)</f>
        <v/>
      </c>
    </row>
    <row r="599">
      <c r="A599" s="15" t="n"/>
      <c r="B599" s="15" t="n"/>
      <c r="C599" s="16">
        <f>IF($B599="","",IFERROR(INDEX('Intervals'!$B$4:$B$33,MATCH($B599,'Intervals'!$A$4:$A$33,0)),""))</f>
        <v/>
      </c>
      <c r="D599" s="17" t="n"/>
      <c r="E599" s="18" t="n"/>
      <c r="F599" s="19">
        <f>IF(OR($B599="",$E599=""),"",IFERROR(IF(AND(INDEX('Intervals'!$G$4:$G$33,MATCH($B599,'Intervals'!$A$4:$A$33,0))&lt;&gt;"No",N(INDEX('Intervals'!$C$4:$C$33,MATCH($B599,'Intervals'!$A$4:$A$33,0)))&gt;0),$E599+N(INDEX('Intervals'!$C$4:$C$33,MATCH($B599,'Intervals'!$A$4:$A$33,0))),""),""))</f>
        <v/>
      </c>
      <c r="G599" s="20">
        <f>IF(OR($B599="",$D599=""),"",IFERROR(IF(AND(INDEX('Intervals'!$G$4:$G$33,MATCH($B599,'Intervals'!$A$4:$A$33,0))&lt;&gt;"No",N(INDEX('Intervals'!$D$4:$D$33,MATCH($B599,'Intervals'!$A$4:$A$33,0)))&gt;0),EDATE($D599,N(INDEX('Intervals'!$D$4:$D$33,MATCH($B599,'Intervals'!$A$4:$A$33,0)))),""),""))</f>
        <v/>
      </c>
      <c r="H599" s="19">
        <f>IF($A599="","",IFERROR(IF(N(INDEX('Cars'!$H$4:$H$103,MATCH($A599,'Cars'!$A$4:$A$103,0)))&gt;0,INDEX('Cars'!$H$4:$H$103,MATCH($A599,'Cars'!$A$4:$A$103,0)),""),""))</f>
        <v/>
      </c>
      <c r="I599" s="19">
        <f>IF(OR($F599="",$H599=""),"",$F599-$H599)</f>
        <v/>
      </c>
      <c r="J599" s="21">
        <f>IF($G599="","",$G599-TODAY())</f>
        <v/>
      </c>
      <c r="K599" s="21">
        <f>IF($I599="","",IFERROR(IF(N(INDEX('Cars'!$J$4:$J$103,MATCH($A599,'Cars'!$A$4:$A$103,0)))&gt;0,ROUND($I599/INDEX('Cars'!$J$4:$J$103,MATCH($A599,'Cars'!$A$4:$A$103,0))*30,0),""),""))</f>
        <v/>
      </c>
      <c r="L599" s="21">
        <f>IF(AND($J599="",$K599=""),"",MIN(IF($J599="",99999,$J599),IF($K599="",99999,$K599)))</f>
        <v/>
      </c>
      <c r="M599" s="16">
        <f>IF(AND($I599="",$J599=""),"",IF(OR(AND($I599&lt;&gt;"",N($I599)&lt;0),AND($J599&lt;&gt;"",N($J599)&lt;0)),"Overdue",IF(OR(AND($I599&lt;&gt;"",N($I599)&lt;=IFERROR(INDEX('Intervals'!$E$4:$E$33,MATCH($B599,'Intervals'!$A$4:$A$33,0)),500)),AND($J599&lt;&gt;"",N($J599)&lt;=IFERROR(INDEX('Intervals'!$F$4:$F$33,MATCH($B599,'Intervals'!$A$4:$A$33,0)),14))),"Due soon","OK")))</f>
        <v/>
      </c>
      <c r="N599" s="15" t="n"/>
      <c r="O599" s="22">
        <f>IF(OR($M599="",$M599="OK"),"",$L599+ROW()/100000)</f>
        <v/>
      </c>
    </row>
    <row r="600">
      <c r="A600" s="15" t="n"/>
      <c r="B600" s="15" t="n"/>
      <c r="C600" s="16">
        <f>IF($B600="","",IFERROR(INDEX('Intervals'!$B$4:$B$33,MATCH($B600,'Intervals'!$A$4:$A$33,0)),""))</f>
        <v/>
      </c>
      <c r="D600" s="17" t="n"/>
      <c r="E600" s="18" t="n"/>
      <c r="F600" s="19">
        <f>IF(OR($B600="",$E600=""),"",IFERROR(IF(AND(INDEX('Intervals'!$G$4:$G$33,MATCH($B600,'Intervals'!$A$4:$A$33,0))&lt;&gt;"No",N(INDEX('Intervals'!$C$4:$C$33,MATCH($B600,'Intervals'!$A$4:$A$33,0)))&gt;0),$E600+N(INDEX('Intervals'!$C$4:$C$33,MATCH($B600,'Intervals'!$A$4:$A$33,0))),""),""))</f>
        <v/>
      </c>
      <c r="G600" s="20">
        <f>IF(OR($B600="",$D600=""),"",IFERROR(IF(AND(INDEX('Intervals'!$G$4:$G$33,MATCH($B600,'Intervals'!$A$4:$A$33,0))&lt;&gt;"No",N(INDEX('Intervals'!$D$4:$D$33,MATCH($B600,'Intervals'!$A$4:$A$33,0)))&gt;0),EDATE($D600,N(INDEX('Intervals'!$D$4:$D$33,MATCH($B600,'Intervals'!$A$4:$A$33,0)))),""),""))</f>
        <v/>
      </c>
      <c r="H600" s="19">
        <f>IF($A600="","",IFERROR(IF(N(INDEX('Cars'!$H$4:$H$103,MATCH($A600,'Cars'!$A$4:$A$103,0)))&gt;0,INDEX('Cars'!$H$4:$H$103,MATCH($A600,'Cars'!$A$4:$A$103,0)),""),""))</f>
        <v/>
      </c>
      <c r="I600" s="19">
        <f>IF(OR($F600="",$H600=""),"",$F600-$H600)</f>
        <v/>
      </c>
      <c r="J600" s="21">
        <f>IF($G600="","",$G600-TODAY())</f>
        <v/>
      </c>
      <c r="K600" s="21">
        <f>IF($I600="","",IFERROR(IF(N(INDEX('Cars'!$J$4:$J$103,MATCH($A600,'Cars'!$A$4:$A$103,0)))&gt;0,ROUND($I600/INDEX('Cars'!$J$4:$J$103,MATCH($A600,'Cars'!$A$4:$A$103,0))*30,0),""),""))</f>
        <v/>
      </c>
      <c r="L600" s="21">
        <f>IF(AND($J600="",$K600=""),"",MIN(IF($J600="",99999,$J600),IF($K600="",99999,$K600)))</f>
        <v/>
      </c>
      <c r="M600" s="16">
        <f>IF(AND($I600="",$J600=""),"",IF(OR(AND($I600&lt;&gt;"",N($I600)&lt;0),AND($J600&lt;&gt;"",N($J600)&lt;0)),"Overdue",IF(OR(AND($I600&lt;&gt;"",N($I600)&lt;=IFERROR(INDEX('Intervals'!$E$4:$E$33,MATCH($B600,'Intervals'!$A$4:$A$33,0)),500)),AND($J600&lt;&gt;"",N($J600)&lt;=IFERROR(INDEX('Intervals'!$F$4:$F$33,MATCH($B600,'Intervals'!$A$4:$A$33,0)),14))),"Due soon","OK")))</f>
        <v/>
      </c>
      <c r="N600" s="15" t="n"/>
      <c r="O600" s="22">
        <f>IF(OR($M600="",$M600="OK"),"",$L600+ROW()/100000)</f>
        <v/>
      </c>
    </row>
    <row r="601">
      <c r="A601" s="15" t="n"/>
      <c r="B601" s="15" t="n"/>
      <c r="C601" s="16">
        <f>IF($B601="","",IFERROR(INDEX('Intervals'!$B$4:$B$33,MATCH($B601,'Intervals'!$A$4:$A$33,0)),""))</f>
        <v/>
      </c>
      <c r="D601" s="17" t="n"/>
      <c r="E601" s="18" t="n"/>
      <c r="F601" s="19">
        <f>IF(OR($B601="",$E601=""),"",IFERROR(IF(AND(INDEX('Intervals'!$G$4:$G$33,MATCH($B601,'Intervals'!$A$4:$A$33,0))&lt;&gt;"No",N(INDEX('Intervals'!$C$4:$C$33,MATCH($B601,'Intervals'!$A$4:$A$33,0)))&gt;0),$E601+N(INDEX('Intervals'!$C$4:$C$33,MATCH($B601,'Intervals'!$A$4:$A$33,0))),""),""))</f>
        <v/>
      </c>
      <c r="G601" s="20">
        <f>IF(OR($B601="",$D601=""),"",IFERROR(IF(AND(INDEX('Intervals'!$G$4:$G$33,MATCH($B601,'Intervals'!$A$4:$A$33,0))&lt;&gt;"No",N(INDEX('Intervals'!$D$4:$D$33,MATCH($B601,'Intervals'!$A$4:$A$33,0)))&gt;0),EDATE($D601,N(INDEX('Intervals'!$D$4:$D$33,MATCH($B601,'Intervals'!$A$4:$A$33,0)))),""),""))</f>
        <v/>
      </c>
      <c r="H601" s="19">
        <f>IF($A601="","",IFERROR(IF(N(INDEX('Cars'!$H$4:$H$103,MATCH($A601,'Cars'!$A$4:$A$103,0)))&gt;0,INDEX('Cars'!$H$4:$H$103,MATCH($A601,'Cars'!$A$4:$A$103,0)),""),""))</f>
        <v/>
      </c>
      <c r="I601" s="19">
        <f>IF(OR($F601="",$H601=""),"",$F601-$H601)</f>
        <v/>
      </c>
      <c r="J601" s="21">
        <f>IF($G601="","",$G601-TODAY())</f>
        <v/>
      </c>
      <c r="K601" s="21">
        <f>IF($I601="","",IFERROR(IF(N(INDEX('Cars'!$J$4:$J$103,MATCH($A601,'Cars'!$A$4:$A$103,0)))&gt;0,ROUND($I601/INDEX('Cars'!$J$4:$J$103,MATCH($A601,'Cars'!$A$4:$A$103,0))*30,0),""),""))</f>
        <v/>
      </c>
      <c r="L601" s="21">
        <f>IF(AND($J601="",$K601=""),"",MIN(IF($J601="",99999,$J601),IF($K601="",99999,$K601)))</f>
        <v/>
      </c>
      <c r="M601" s="16">
        <f>IF(AND($I601="",$J601=""),"",IF(OR(AND($I601&lt;&gt;"",N($I601)&lt;0),AND($J601&lt;&gt;"",N($J601)&lt;0)),"Overdue",IF(OR(AND($I601&lt;&gt;"",N($I601)&lt;=IFERROR(INDEX('Intervals'!$E$4:$E$33,MATCH($B601,'Intervals'!$A$4:$A$33,0)),500)),AND($J601&lt;&gt;"",N($J601)&lt;=IFERROR(INDEX('Intervals'!$F$4:$F$33,MATCH($B601,'Intervals'!$A$4:$A$33,0)),14))),"Due soon","OK")))</f>
        <v/>
      </c>
      <c r="N601" s="15" t="n"/>
      <c r="O601" s="22">
        <f>IF(OR($M601="",$M601="OK"),"",$L601+ROW()/100000)</f>
        <v/>
      </c>
    </row>
    <row r="602">
      <c r="A602" s="15" t="n"/>
      <c r="B602" s="15" t="n"/>
      <c r="C602" s="16">
        <f>IF($B602="","",IFERROR(INDEX('Intervals'!$B$4:$B$33,MATCH($B602,'Intervals'!$A$4:$A$33,0)),""))</f>
        <v/>
      </c>
      <c r="D602" s="17" t="n"/>
      <c r="E602" s="18" t="n"/>
      <c r="F602" s="19">
        <f>IF(OR($B602="",$E602=""),"",IFERROR(IF(AND(INDEX('Intervals'!$G$4:$G$33,MATCH($B602,'Intervals'!$A$4:$A$33,0))&lt;&gt;"No",N(INDEX('Intervals'!$C$4:$C$33,MATCH($B602,'Intervals'!$A$4:$A$33,0)))&gt;0),$E602+N(INDEX('Intervals'!$C$4:$C$33,MATCH($B602,'Intervals'!$A$4:$A$33,0))),""),""))</f>
        <v/>
      </c>
      <c r="G602" s="20">
        <f>IF(OR($B602="",$D602=""),"",IFERROR(IF(AND(INDEX('Intervals'!$G$4:$G$33,MATCH($B602,'Intervals'!$A$4:$A$33,0))&lt;&gt;"No",N(INDEX('Intervals'!$D$4:$D$33,MATCH($B602,'Intervals'!$A$4:$A$33,0)))&gt;0),EDATE($D602,N(INDEX('Intervals'!$D$4:$D$33,MATCH($B602,'Intervals'!$A$4:$A$33,0)))),""),""))</f>
        <v/>
      </c>
      <c r="H602" s="19">
        <f>IF($A602="","",IFERROR(IF(N(INDEX('Cars'!$H$4:$H$103,MATCH($A602,'Cars'!$A$4:$A$103,0)))&gt;0,INDEX('Cars'!$H$4:$H$103,MATCH($A602,'Cars'!$A$4:$A$103,0)),""),""))</f>
        <v/>
      </c>
      <c r="I602" s="19">
        <f>IF(OR($F602="",$H602=""),"",$F602-$H602)</f>
        <v/>
      </c>
      <c r="J602" s="21">
        <f>IF($G602="","",$G602-TODAY())</f>
        <v/>
      </c>
      <c r="K602" s="21">
        <f>IF($I602="","",IFERROR(IF(N(INDEX('Cars'!$J$4:$J$103,MATCH($A602,'Cars'!$A$4:$A$103,0)))&gt;0,ROUND($I602/INDEX('Cars'!$J$4:$J$103,MATCH($A602,'Cars'!$A$4:$A$103,0))*30,0),""),""))</f>
        <v/>
      </c>
      <c r="L602" s="21">
        <f>IF(AND($J602="",$K602=""),"",MIN(IF($J602="",99999,$J602),IF($K602="",99999,$K602)))</f>
        <v/>
      </c>
      <c r="M602" s="16">
        <f>IF(AND($I602="",$J602=""),"",IF(OR(AND($I602&lt;&gt;"",N($I602)&lt;0),AND($J602&lt;&gt;"",N($J602)&lt;0)),"Overdue",IF(OR(AND($I602&lt;&gt;"",N($I602)&lt;=IFERROR(INDEX('Intervals'!$E$4:$E$33,MATCH($B602,'Intervals'!$A$4:$A$33,0)),500)),AND($J602&lt;&gt;"",N($J602)&lt;=IFERROR(INDEX('Intervals'!$F$4:$F$33,MATCH($B602,'Intervals'!$A$4:$A$33,0)),14))),"Due soon","OK")))</f>
        <v/>
      </c>
      <c r="N602" s="15" t="n"/>
      <c r="O602" s="22">
        <f>IF(OR($M602="",$M602="OK"),"",$L602+ROW()/100000)</f>
        <v/>
      </c>
    </row>
    <row r="603">
      <c r="A603" s="15" t="n"/>
      <c r="B603" s="15" t="n"/>
      <c r="C603" s="16">
        <f>IF($B603="","",IFERROR(INDEX('Intervals'!$B$4:$B$33,MATCH($B603,'Intervals'!$A$4:$A$33,0)),""))</f>
        <v/>
      </c>
      <c r="D603" s="17" t="n"/>
      <c r="E603" s="18" t="n"/>
      <c r="F603" s="19">
        <f>IF(OR($B603="",$E603=""),"",IFERROR(IF(AND(INDEX('Intervals'!$G$4:$G$33,MATCH($B603,'Intervals'!$A$4:$A$33,0))&lt;&gt;"No",N(INDEX('Intervals'!$C$4:$C$33,MATCH($B603,'Intervals'!$A$4:$A$33,0)))&gt;0),$E603+N(INDEX('Intervals'!$C$4:$C$33,MATCH($B603,'Intervals'!$A$4:$A$33,0))),""),""))</f>
        <v/>
      </c>
      <c r="G603" s="20">
        <f>IF(OR($B603="",$D603=""),"",IFERROR(IF(AND(INDEX('Intervals'!$G$4:$G$33,MATCH($B603,'Intervals'!$A$4:$A$33,0))&lt;&gt;"No",N(INDEX('Intervals'!$D$4:$D$33,MATCH($B603,'Intervals'!$A$4:$A$33,0)))&gt;0),EDATE($D603,N(INDEX('Intervals'!$D$4:$D$33,MATCH($B603,'Intervals'!$A$4:$A$33,0)))),""),""))</f>
        <v/>
      </c>
      <c r="H603" s="19">
        <f>IF($A603="","",IFERROR(IF(N(INDEX('Cars'!$H$4:$H$103,MATCH($A603,'Cars'!$A$4:$A$103,0)))&gt;0,INDEX('Cars'!$H$4:$H$103,MATCH($A603,'Cars'!$A$4:$A$103,0)),""),""))</f>
        <v/>
      </c>
      <c r="I603" s="19">
        <f>IF(OR($F603="",$H603=""),"",$F603-$H603)</f>
        <v/>
      </c>
      <c r="J603" s="21">
        <f>IF($G603="","",$G603-TODAY())</f>
        <v/>
      </c>
      <c r="K603" s="21">
        <f>IF($I603="","",IFERROR(IF(N(INDEX('Cars'!$J$4:$J$103,MATCH($A603,'Cars'!$A$4:$A$103,0)))&gt;0,ROUND($I603/INDEX('Cars'!$J$4:$J$103,MATCH($A603,'Cars'!$A$4:$A$103,0))*30,0),""),""))</f>
        <v/>
      </c>
      <c r="L603" s="21">
        <f>IF(AND($J603="",$K603=""),"",MIN(IF($J603="",99999,$J603),IF($K603="",99999,$K603)))</f>
        <v/>
      </c>
      <c r="M603" s="16">
        <f>IF(AND($I603="",$J603=""),"",IF(OR(AND($I603&lt;&gt;"",N($I603)&lt;0),AND($J603&lt;&gt;"",N($J603)&lt;0)),"Overdue",IF(OR(AND($I603&lt;&gt;"",N($I603)&lt;=IFERROR(INDEX('Intervals'!$E$4:$E$33,MATCH($B603,'Intervals'!$A$4:$A$33,0)),500)),AND($J603&lt;&gt;"",N($J603)&lt;=IFERROR(INDEX('Intervals'!$F$4:$F$33,MATCH($B603,'Intervals'!$A$4:$A$33,0)),14))),"Due soon","OK")))</f>
        <v/>
      </c>
      <c r="N603" s="15" t="n"/>
      <c r="O603" s="22">
        <f>IF(OR($M603="",$M603="OK"),"",$L603+ROW()/100000)</f>
        <v/>
      </c>
    </row>
    <row r="604">
      <c r="A604" s="15" t="n"/>
      <c r="B604" s="15" t="n"/>
      <c r="C604" s="16">
        <f>IF($B604="","",IFERROR(INDEX('Intervals'!$B$4:$B$33,MATCH($B604,'Intervals'!$A$4:$A$33,0)),""))</f>
        <v/>
      </c>
      <c r="D604" s="17" t="n"/>
      <c r="E604" s="18" t="n"/>
      <c r="F604" s="19">
        <f>IF(OR($B604="",$E604=""),"",IFERROR(IF(AND(INDEX('Intervals'!$G$4:$G$33,MATCH($B604,'Intervals'!$A$4:$A$33,0))&lt;&gt;"No",N(INDEX('Intervals'!$C$4:$C$33,MATCH($B604,'Intervals'!$A$4:$A$33,0)))&gt;0),$E604+N(INDEX('Intervals'!$C$4:$C$33,MATCH($B604,'Intervals'!$A$4:$A$33,0))),""),""))</f>
        <v/>
      </c>
      <c r="G604" s="20">
        <f>IF(OR($B604="",$D604=""),"",IFERROR(IF(AND(INDEX('Intervals'!$G$4:$G$33,MATCH($B604,'Intervals'!$A$4:$A$33,0))&lt;&gt;"No",N(INDEX('Intervals'!$D$4:$D$33,MATCH($B604,'Intervals'!$A$4:$A$33,0)))&gt;0),EDATE($D604,N(INDEX('Intervals'!$D$4:$D$33,MATCH($B604,'Intervals'!$A$4:$A$33,0)))),""),""))</f>
        <v/>
      </c>
      <c r="H604" s="19">
        <f>IF($A604="","",IFERROR(IF(N(INDEX('Cars'!$H$4:$H$103,MATCH($A604,'Cars'!$A$4:$A$103,0)))&gt;0,INDEX('Cars'!$H$4:$H$103,MATCH($A604,'Cars'!$A$4:$A$103,0)),""),""))</f>
        <v/>
      </c>
      <c r="I604" s="19">
        <f>IF(OR($F604="",$H604=""),"",$F604-$H604)</f>
        <v/>
      </c>
      <c r="J604" s="21">
        <f>IF($G604="","",$G604-TODAY())</f>
        <v/>
      </c>
      <c r="K604" s="21">
        <f>IF($I604="","",IFERROR(IF(N(INDEX('Cars'!$J$4:$J$103,MATCH($A604,'Cars'!$A$4:$A$103,0)))&gt;0,ROUND($I604/INDEX('Cars'!$J$4:$J$103,MATCH($A604,'Cars'!$A$4:$A$103,0))*30,0),""),""))</f>
        <v/>
      </c>
      <c r="L604" s="21">
        <f>IF(AND($J604="",$K604=""),"",MIN(IF($J604="",99999,$J604),IF($K604="",99999,$K604)))</f>
        <v/>
      </c>
      <c r="M604" s="16">
        <f>IF(AND($I604="",$J604=""),"",IF(OR(AND($I604&lt;&gt;"",N($I604)&lt;0),AND($J604&lt;&gt;"",N($J604)&lt;0)),"Overdue",IF(OR(AND($I604&lt;&gt;"",N($I604)&lt;=IFERROR(INDEX('Intervals'!$E$4:$E$33,MATCH($B604,'Intervals'!$A$4:$A$33,0)),500)),AND($J604&lt;&gt;"",N($J604)&lt;=IFERROR(INDEX('Intervals'!$F$4:$F$33,MATCH($B604,'Intervals'!$A$4:$A$33,0)),14))),"Due soon","OK")))</f>
        <v/>
      </c>
      <c r="N604" s="15" t="n"/>
      <c r="O604" s="22">
        <f>IF(OR($M604="",$M604="OK"),"",$L604+ROW()/100000)</f>
        <v/>
      </c>
    </row>
    <row r="605">
      <c r="A605" s="15" t="n"/>
      <c r="B605" s="15" t="n"/>
      <c r="C605" s="16">
        <f>IF($B605="","",IFERROR(INDEX('Intervals'!$B$4:$B$33,MATCH($B605,'Intervals'!$A$4:$A$33,0)),""))</f>
        <v/>
      </c>
      <c r="D605" s="17" t="n"/>
      <c r="E605" s="18" t="n"/>
      <c r="F605" s="19">
        <f>IF(OR($B605="",$E605=""),"",IFERROR(IF(AND(INDEX('Intervals'!$G$4:$G$33,MATCH($B605,'Intervals'!$A$4:$A$33,0))&lt;&gt;"No",N(INDEX('Intervals'!$C$4:$C$33,MATCH($B605,'Intervals'!$A$4:$A$33,0)))&gt;0),$E605+N(INDEX('Intervals'!$C$4:$C$33,MATCH($B605,'Intervals'!$A$4:$A$33,0))),""),""))</f>
        <v/>
      </c>
      <c r="G605" s="20">
        <f>IF(OR($B605="",$D605=""),"",IFERROR(IF(AND(INDEX('Intervals'!$G$4:$G$33,MATCH($B605,'Intervals'!$A$4:$A$33,0))&lt;&gt;"No",N(INDEX('Intervals'!$D$4:$D$33,MATCH($B605,'Intervals'!$A$4:$A$33,0)))&gt;0),EDATE($D605,N(INDEX('Intervals'!$D$4:$D$33,MATCH($B605,'Intervals'!$A$4:$A$33,0)))),""),""))</f>
        <v/>
      </c>
      <c r="H605" s="19">
        <f>IF($A605="","",IFERROR(IF(N(INDEX('Cars'!$H$4:$H$103,MATCH($A605,'Cars'!$A$4:$A$103,0)))&gt;0,INDEX('Cars'!$H$4:$H$103,MATCH($A605,'Cars'!$A$4:$A$103,0)),""),""))</f>
        <v/>
      </c>
      <c r="I605" s="19">
        <f>IF(OR($F605="",$H605=""),"",$F605-$H605)</f>
        <v/>
      </c>
      <c r="J605" s="21">
        <f>IF($G605="","",$G605-TODAY())</f>
        <v/>
      </c>
      <c r="K605" s="21">
        <f>IF($I605="","",IFERROR(IF(N(INDEX('Cars'!$J$4:$J$103,MATCH($A605,'Cars'!$A$4:$A$103,0)))&gt;0,ROUND($I605/INDEX('Cars'!$J$4:$J$103,MATCH($A605,'Cars'!$A$4:$A$103,0))*30,0),""),""))</f>
        <v/>
      </c>
      <c r="L605" s="21">
        <f>IF(AND($J605="",$K605=""),"",MIN(IF($J605="",99999,$J605),IF($K605="",99999,$K605)))</f>
        <v/>
      </c>
      <c r="M605" s="16">
        <f>IF(AND($I605="",$J605=""),"",IF(OR(AND($I605&lt;&gt;"",N($I605)&lt;0),AND($J605&lt;&gt;"",N($J605)&lt;0)),"Overdue",IF(OR(AND($I605&lt;&gt;"",N($I605)&lt;=IFERROR(INDEX('Intervals'!$E$4:$E$33,MATCH($B605,'Intervals'!$A$4:$A$33,0)),500)),AND($J605&lt;&gt;"",N($J605)&lt;=IFERROR(INDEX('Intervals'!$F$4:$F$33,MATCH($B605,'Intervals'!$A$4:$A$33,0)),14))),"Due soon","OK")))</f>
        <v/>
      </c>
      <c r="N605" s="15" t="n"/>
      <c r="O605" s="22">
        <f>IF(OR($M605="",$M605="OK"),"",$L605+ROW()/100000)</f>
        <v/>
      </c>
    </row>
    <row r="606">
      <c r="A606" s="15" t="n"/>
      <c r="B606" s="15" t="n"/>
      <c r="C606" s="16">
        <f>IF($B606="","",IFERROR(INDEX('Intervals'!$B$4:$B$33,MATCH($B606,'Intervals'!$A$4:$A$33,0)),""))</f>
        <v/>
      </c>
      <c r="D606" s="17" t="n"/>
      <c r="E606" s="18" t="n"/>
      <c r="F606" s="19">
        <f>IF(OR($B606="",$E606=""),"",IFERROR(IF(AND(INDEX('Intervals'!$G$4:$G$33,MATCH($B606,'Intervals'!$A$4:$A$33,0))&lt;&gt;"No",N(INDEX('Intervals'!$C$4:$C$33,MATCH($B606,'Intervals'!$A$4:$A$33,0)))&gt;0),$E606+N(INDEX('Intervals'!$C$4:$C$33,MATCH($B606,'Intervals'!$A$4:$A$33,0))),""),""))</f>
        <v/>
      </c>
      <c r="G606" s="20">
        <f>IF(OR($B606="",$D606=""),"",IFERROR(IF(AND(INDEX('Intervals'!$G$4:$G$33,MATCH($B606,'Intervals'!$A$4:$A$33,0))&lt;&gt;"No",N(INDEX('Intervals'!$D$4:$D$33,MATCH($B606,'Intervals'!$A$4:$A$33,0)))&gt;0),EDATE($D606,N(INDEX('Intervals'!$D$4:$D$33,MATCH($B606,'Intervals'!$A$4:$A$33,0)))),""),""))</f>
        <v/>
      </c>
      <c r="H606" s="19">
        <f>IF($A606="","",IFERROR(IF(N(INDEX('Cars'!$H$4:$H$103,MATCH($A606,'Cars'!$A$4:$A$103,0)))&gt;0,INDEX('Cars'!$H$4:$H$103,MATCH($A606,'Cars'!$A$4:$A$103,0)),""),""))</f>
        <v/>
      </c>
      <c r="I606" s="19">
        <f>IF(OR($F606="",$H606=""),"",$F606-$H606)</f>
        <v/>
      </c>
      <c r="J606" s="21">
        <f>IF($G606="","",$G606-TODAY())</f>
        <v/>
      </c>
      <c r="K606" s="21">
        <f>IF($I606="","",IFERROR(IF(N(INDEX('Cars'!$J$4:$J$103,MATCH($A606,'Cars'!$A$4:$A$103,0)))&gt;0,ROUND($I606/INDEX('Cars'!$J$4:$J$103,MATCH($A606,'Cars'!$A$4:$A$103,0))*30,0),""),""))</f>
        <v/>
      </c>
      <c r="L606" s="21">
        <f>IF(AND($J606="",$K606=""),"",MIN(IF($J606="",99999,$J606),IF($K606="",99999,$K606)))</f>
        <v/>
      </c>
      <c r="M606" s="16">
        <f>IF(AND($I606="",$J606=""),"",IF(OR(AND($I606&lt;&gt;"",N($I606)&lt;0),AND($J606&lt;&gt;"",N($J606)&lt;0)),"Overdue",IF(OR(AND($I606&lt;&gt;"",N($I606)&lt;=IFERROR(INDEX('Intervals'!$E$4:$E$33,MATCH($B606,'Intervals'!$A$4:$A$33,0)),500)),AND($J606&lt;&gt;"",N($J606)&lt;=IFERROR(INDEX('Intervals'!$F$4:$F$33,MATCH($B606,'Intervals'!$A$4:$A$33,0)),14))),"Due soon","OK")))</f>
        <v/>
      </c>
      <c r="N606" s="15" t="n"/>
      <c r="O606" s="22">
        <f>IF(OR($M606="",$M606="OK"),"",$L606+ROW()/100000)</f>
        <v/>
      </c>
    </row>
    <row r="607">
      <c r="A607" s="15" t="n"/>
      <c r="B607" s="15" t="n"/>
      <c r="C607" s="16">
        <f>IF($B607="","",IFERROR(INDEX('Intervals'!$B$4:$B$33,MATCH($B607,'Intervals'!$A$4:$A$33,0)),""))</f>
        <v/>
      </c>
      <c r="D607" s="17" t="n"/>
      <c r="E607" s="18" t="n"/>
      <c r="F607" s="19">
        <f>IF(OR($B607="",$E607=""),"",IFERROR(IF(AND(INDEX('Intervals'!$G$4:$G$33,MATCH($B607,'Intervals'!$A$4:$A$33,0))&lt;&gt;"No",N(INDEX('Intervals'!$C$4:$C$33,MATCH($B607,'Intervals'!$A$4:$A$33,0)))&gt;0),$E607+N(INDEX('Intervals'!$C$4:$C$33,MATCH($B607,'Intervals'!$A$4:$A$33,0))),""),""))</f>
        <v/>
      </c>
      <c r="G607" s="20">
        <f>IF(OR($B607="",$D607=""),"",IFERROR(IF(AND(INDEX('Intervals'!$G$4:$G$33,MATCH($B607,'Intervals'!$A$4:$A$33,0))&lt;&gt;"No",N(INDEX('Intervals'!$D$4:$D$33,MATCH($B607,'Intervals'!$A$4:$A$33,0)))&gt;0),EDATE($D607,N(INDEX('Intervals'!$D$4:$D$33,MATCH($B607,'Intervals'!$A$4:$A$33,0)))),""),""))</f>
        <v/>
      </c>
      <c r="H607" s="19">
        <f>IF($A607="","",IFERROR(IF(N(INDEX('Cars'!$H$4:$H$103,MATCH($A607,'Cars'!$A$4:$A$103,0)))&gt;0,INDEX('Cars'!$H$4:$H$103,MATCH($A607,'Cars'!$A$4:$A$103,0)),""),""))</f>
        <v/>
      </c>
      <c r="I607" s="19">
        <f>IF(OR($F607="",$H607=""),"",$F607-$H607)</f>
        <v/>
      </c>
      <c r="J607" s="21">
        <f>IF($G607="","",$G607-TODAY())</f>
        <v/>
      </c>
      <c r="K607" s="21">
        <f>IF($I607="","",IFERROR(IF(N(INDEX('Cars'!$J$4:$J$103,MATCH($A607,'Cars'!$A$4:$A$103,0)))&gt;0,ROUND($I607/INDEX('Cars'!$J$4:$J$103,MATCH($A607,'Cars'!$A$4:$A$103,0))*30,0),""),""))</f>
        <v/>
      </c>
      <c r="L607" s="21">
        <f>IF(AND($J607="",$K607=""),"",MIN(IF($J607="",99999,$J607),IF($K607="",99999,$K607)))</f>
        <v/>
      </c>
      <c r="M607" s="16">
        <f>IF(AND($I607="",$J607=""),"",IF(OR(AND($I607&lt;&gt;"",N($I607)&lt;0),AND($J607&lt;&gt;"",N($J607)&lt;0)),"Overdue",IF(OR(AND($I607&lt;&gt;"",N($I607)&lt;=IFERROR(INDEX('Intervals'!$E$4:$E$33,MATCH($B607,'Intervals'!$A$4:$A$33,0)),500)),AND($J607&lt;&gt;"",N($J607)&lt;=IFERROR(INDEX('Intervals'!$F$4:$F$33,MATCH($B607,'Intervals'!$A$4:$A$33,0)),14))),"Due soon","OK")))</f>
        <v/>
      </c>
      <c r="N607" s="15" t="n"/>
      <c r="O607" s="22">
        <f>IF(OR($M607="",$M607="OK"),"",$L607+ROW()/100000)</f>
        <v/>
      </c>
    </row>
    <row r="608">
      <c r="A608" s="15" t="n"/>
      <c r="B608" s="15" t="n"/>
      <c r="C608" s="16">
        <f>IF($B608="","",IFERROR(INDEX('Intervals'!$B$4:$B$33,MATCH($B608,'Intervals'!$A$4:$A$33,0)),""))</f>
        <v/>
      </c>
      <c r="D608" s="17" t="n"/>
      <c r="E608" s="18" t="n"/>
      <c r="F608" s="19">
        <f>IF(OR($B608="",$E608=""),"",IFERROR(IF(AND(INDEX('Intervals'!$G$4:$G$33,MATCH($B608,'Intervals'!$A$4:$A$33,0))&lt;&gt;"No",N(INDEX('Intervals'!$C$4:$C$33,MATCH($B608,'Intervals'!$A$4:$A$33,0)))&gt;0),$E608+N(INDEX('Intervals'!$C$4:$C$33,MATCH($B608,'Intervals'!$A$4:$A$33,0))),""),""))</f>
        <v/>
      </c>
      <c r="G608" s="20">
        <f>IF(OR($B608="",$D608=""),"",IFERROR(IF(AND(INDEX('Intervals'!$G$4:$G$33,MATCH($B608,'Intervals'!$A$4:$A$33,0))&lt;&gt;"No",N(INDEX('Intervals'!$D$4:$D$33,MATCH($B608,'Intervals'!$A$4:$A$33,0)))&gt;0),EDATE($D608,N(INDEX('Intervals'!$D$4:$D$33,MATCH($B608,'Intervals'!$A$4:$A$33,0)))),""),""))</f>
        <v/>
      </c>
      <c r="H608" s="19">
        <f>IF($A608="","",IFERROR(IF(N(INDEX('Cars'!$H$4:$H$103,MATCH($A608,'Cars'!$A$4:$A$103,0)))&gt;0,INDEX('Cars'!$H$4:$H$103,MATCH($A608,'Cars'!$A$4:$A$103,0)),""),""))</f>
        <v/>
      </c>
      <c r="I608" s="19">
        <f>IF(OR($F608="",$H608=""),"",$F608-$H608)</f>
        <v/>
      </c>
      <c r="J608" s="21">
        <f>IF($G608="","",$G608-TODAY())</f>
        <v/>
      </c>
      <c r="K608" s="21">
        <f>IF($I608="","",IFERROR(IF(N(INDEX('Cars'!$J$4:$J$103,MATCH($A608,'Cars'!$A$4:$A$103,0)))&gt;0,ROUND($I608/INDEX('Cars'!$J$4:$J$103,MATCH($A608,'Cars'!$A$4:$A$103,0))*30,0),""),""))</f>
        <v/>
      </c>
      <c r="L608" s="21">
        <f>IF(AND($J608="",$K608=""),"",MIN(IF($J608="",99999,$J608),IF($K608="",99999,$K608)))</f>
        <v/>
      </c>
      <c r="M608" s="16">
        <f>IF(AND($I608="",$J608=""),"",IF(OR(AND($I608&lt;&gt;"",N($I608)&lt;0),AND($J608&lt;&gt;"",N($J608)&lt;0)),"Overdue",IF(OR(AND($I608&lt;&gt;"",N($I608)&lt;=IFERROR(INDEX('Intervals'!$E$4:$E$33,MATCH($B608,'Intervals'!$A$4:$A$33,0)),500)),AND($J608&lt;&gt;"",N($J608)&lt;=IFERROR(INDEX('Intervals'!$F$4:$F$33,MATCH($B608,'Intervals'!$A$4:$A$33,0)),14))),"Due soon","OK")))</f>
        <v/>
      </c>
      <c r="N608" s="15" t="n"/>
      <c r="O608" s="22">
        <f>IF(OR($M608="",$M608="OK"),"",$L608+ROW()/100000)</f>
        <v/>
      </c>
    </row>
    <row r="609">
      <c r="A609" s="15" t="n"/>
      <c r="B609" s="15" t="n"/>
      <c r="C609" s="16">
        <f>IF($B609="","",IFERROR(INDEX('Intervals'!$B$4:$B$33,MATCH($B609,'Intervals'!$A$4:$A$33,0)),""))</f>
        <v/>
      </c>
      <c r="D609" s="17" t="n"/>
      <c r="E609" s="18" t="n"/>
      <c r="F609" s="19">
        <f>IF(OR($B609="",$E609=""),"",IFERROR(IF(AND(INDEX('Intervals'!$G$4:$G$33,MATCH($B609,'Intervals'!$A$4:$A$33,0))&lt;&gt;"No",N(INDEX('Intervals'!$C$4:$C$33,MATCH($B609,'Intervals'!$A$4:$A$33,0)))&gt;0),$E609+N(INDEX('Intervals'!$C$4:$C$33,MATCH($B609,'Intervals'!$A$4:$A$33,0))),""),""))</f>
        <v/>
      </c>
      <c r="G609" s="20">
        <f>IF(OR($B609="",$D609=""),"",IFERROR(IF(AND(INDEX('Intervals'!$G$4:$G$33,MATCH($B609,'Intervals'!$A$4:$A$33,0))&lt;&gt;"No",N(INDEX('Intervals'!$D$4:$D$33,MATCH($B609,'Intervals'!$A$4:$A$33,0)))&gt;0),EDATE($D609,N(INDEX('Intervals'!$D$4:$D$33,MATCH($B609,'Intervals'!$A$4:$A$33,0)))),""),""))</f>
        <v/>
      </c>
      <c r="H609" s="19">
        <f>IF($A609="","",IFERROR(IF(N(INDEX('Cars'!$H$4:$H$103,MATCH($A609,'Cars'!$A$4:$A$103,0)))&gt;0,INDEX('Cars'!$H$4:$H$103,MATCH($A609,'Cars'!$A$4:$A$103,0)),""),""))</f>
        <v/>
      </c>
      <c r="I609" s="19">
        <f>IF(OR($F609="",$H609=""),"",$F609-$H609)</f>
        <v/>
      </c>
      <c r="J609" s="21">
        <f>IF($G609="","",$G609-TODAY())</f>
        <v/>
      </c>
      <c r="K609" s="21">
        <f>IF($I609="","",IFERROR(IF(N(INDEX('Cars'!$J$4:$J$103,MATCH($A609,'Cars'!$A$4:$A$103,0)))&gt;0,ROUND($I609/INDEX('Cars'!$J$4:$J$103,MATCH($A609,'Cars'!$A$4:$A$103,0))*30,0),""),""))</f>
        <v/>
      </c>
      <c r="L609" s="21">
        <f>IF(AND($J609="",$K609=""),"",MIN(IF($J609="",99999,$J609),IF($K609="",99999,$K609)))</f>
        <v/>
      </c>
      <c r="M609" s="16">
        <f>IF(AND($I609="",$J609=""),"",IF(OR(AND($I609&lt;&gt;"",N($I609)&lt;0),AND($J609&lt;&gt;"",N($J609)&lt;0)),"Overdue",IF(OR(AND($I609&lt;&gt;"",N($I609)&lt;=IFERROR(INDEX('Intervals'!$E$4:$E$33,MATCH($B609,'Intervals'!$A$4:$A$33,0)),500)),AND($J609&lt;&gt;"",N($J609)&lt;=IFERROR(INDEX('Intervals'!$F$4:$F$33,MATCH($B609,'Intervals'!$A$4:$A$33,0)),14))),"Due soon","OK")))</f>
        <v/>
      </c>
      <c r="N609" s="15" t="n"/>
      <c r="O609" s="22">
        <f>IF(OR($M609="",$M609="OK"),"",$L609+ROW()/100000)</f>
        <v/>
      </c>
    </row>
    <row r="610">
      <c r="A610" s="15" t="n"/>
      <c r="B610" s="15" t="n"/>
      <c r="C610" s="16">
        <f>IF($B610="","",IFERROR(INDEX('Intervals'!$B$4:$B$33,MATCH($B610,'Intervals'!$A$4:$A$33,0)),""))</f>
        <v/>
      </c>
      <c r="D610" s="17" t="n"/>
      <c r="E610" s="18" t="n"/>
      <c r="F610" s="19">
        <f>IF(OR($B610="",$E610=""),"",IFERROR(IF(AND(INDEX('Intervals'!$G$4:$G$33,MATCH($B610,'Intervals'!$A$4:$A$33,0))&lt;&gt;"No",N(INDEX('Intervals'!$C$4:$C$33,MATCH($B610,'Intervals'!$A$4:$A$33,0)))&gt;0),$E610+N(INDEX('Intervals'!$C$4:$C$33,MATCH($B610,'Intervals'!$A$4:$A$33,0))),""),""))</f>
        <v/>
      </c>
      <c r="G610" s="20">
        <f>IF(OR($B610="",$D610=""),"",IFERROR(IF(AND(INDEX('Intervals'!$G$4:$G$33,MATCH($B610,'Intervals'!$A$4:$A$33,0))&lt;&gt;"No",N(INDEX('Intervals'!$D$4:$D$33,MATCH($B610,'Intervals'!$A$4:$A$33,0)))&gt;0),EDATE($D610,N(INDEX('Intervals'!$D$4:$D$33,MATCH($B610,'Intervals'!$A$4:$A$33,0)))),""),""))</f>
        <v/>
      </c>
      <c r="H610" s="19">
        <f>IF($A610="","",IFERROR(IF(N(INDEX('Cars'!$H$4:$H$103,MATCH($A610,'Cars'!$A$4:$A$103,0)))&gt;0,INDEX('Cars'!$H$4:$H$103,MATCH($A610,'Cars'!$A$4:$A$103,0)),""),""))</f>
        <v/>
      </c>
      <c r="I610" s="19">
        <f>IF(OR($F610="",$H610=""),"",$F610-$H610)</f>
        <v/>
      </c>
      <c r="J610" s="21">
        <f>IF($G610="","",$G610-TODAY())</f>
        <v/>
      </c>
      <c r="K610" s="21">
        <f>IF($I610="","",IFERROR(IF(N(INDEX('Cars'!$J$4:$J$103,MATCH($A610,'Cars'!$A$4:$A$103,0)))&gt;0,ROUND($I610/INDEX('Cars'!$J$4:$J$103,MATCH($A610,'Cars'!$A$4:$A$103,0))*30,0),""),""))</f>
        <v/>
      </c>
      <c r="L610" s="21">
        <f>IF(AND($J610="",$K610=""),"",MIN(IF($J610="",99999,$J610),IF($K610="",99999,$K610)))</f>
        <v/>
      </c>
      <c r="M610" s="16">
        <f>IF(AND($I610="",$J610=""),"",IF(OR(AND($I610&lt;&gt;"",N($I610)&lt;0),AND($J610&lt;&gt;"",N($J610)&lt;0)),"Overdue",IF(OR(AND($I610&lt;&gt;"",N($I610)&lt;=IFERROR(INDEX('Intervals'!$E$4:$E$33,MATCH($B610,'Intervals'!$A$4:$A$33,0)),500)),AND($J610&lt;&gt;"",N($J610)&lt;=IFERROR(INDEX('Intervals'!$F$4:$F$33,MATCH($B610,'Intervals'!$A$4:$A$33,0)),14))),"Due soon","OK")))</f>
        <v/>
      </c>
      <c r="N610" s="15" t="n"/>
      <c r="O610" s="22">
        <f>IF(OR($M610="",$M610="OK"),"",$L610+ROW()/100000)</f>
        <v/>
      </c>
    </row>
    <row r="611">
      <c r="A611" s="15" t="n"/>
      <c r="B611" s="15" t="n"/>
      <c r="C611" s="16">
        <f>IF($B611="","",IFERROR(INDEX('Intervals'!$B$4:$B$33,MATCH($B611,'Intervals'!$A$4:$A$33,0)),""))</f>
        <v/>
      </c>
      <c r="D611" s="17" t="n"/>
      <c r="E611" s="18" t="n"/>
      <c r="F611" s="19">
        <f>IF(OR($B611="",$E611=""),"",IFERROR(IF(AND(INDEX('Intervals'!$G$4:$G$33,MATCH($B611,'Intervals'!$A$4:$A$33,0))&lt;&gt;"No",N(INDEX('Intervals'!$C$4:$C$33,MATCH($B611,'Intervals'!$A$4:$A$33,0)))&gt;0),$E611+N(INDEX('Intervals'!$C$4:$C$33,MATCH($B611,'Intervals'!$A$4:$A$33,0))),""),""))</f>
        <v/>
      </c>
      <c r="G611" s="20">
        <f>IF(OR($B611="",$D611=""),"",IFERROR(IF(AND(INDEX('Intervals'!$G$4:$G$33,MATCH($B611,'Intervals'!$A$4:$A$33,0))&lt;&gt;"No",N(INDEX('Intervals'!$D$4:$D$33,MATCH($B611,'Intervals'!$A$4:$A$33,0)))&gt;0),EDATE($D611,N(INDEX('Intervals'!$D$4:$D$33,MATCH($B611,'Intervals'!$A$4:$A$33,0)))),""),""))</f>
        <v/>
      </c>
      <c r="H611" s="19">
        <f>IF($A611="","",IFERROR(IF(N(INDEX('Cars'!$H$4:$H$103,MATCH($A611,'Cars'!$A$4:$A$103,0)))&gt;0,INDEX('Cars'!$H$4:$H$103,MATCH($A611,'Cars'!$A$4:$A$103,0)),""),""))</f>
        <v/>
      </c>
      <c r="I611" s="19">
        <f>IF(OR($F611="",$H611=""),"",$F611-$H611)</f>
        <v/>
      </c>
      <c r="J611" s="21">
        <f>IF($G611="","",$G611-TODAY())</f>
        <v/>
      </c>
      <c r="K611" s="21">
        <f>IF($I611="","",IFERROR(IF(N(INDEX('Cars'!$J$4:$J$103,MATCH($A611,'Cars'!$A$4:$A$103,0)))&gt;0,ROUND($I611/INDEX('Cars'!$J$4:$J$103,MATCH($A611,'Cars'!$A$4:$A$103,0))*30,0),""),""))</f>
        <v/>
      </c>
      <c r="L611" s="21">
        <f>IF(AND($J611="",$K611=""),"",MIN(IF($J611="",99999,$J611),IF($K611="",99999,$K611)))</f>
        <v/>
      </c>
      <c r="M611" s="16">
        <f>IF(AND($I611="",$J611=""),"",IF(OR(AND($I611&lt;&gt;"",N($I611)&lt;0),AND($J611&lt;&gt;"",N($J611)&lt;0)),"Overdue",IF(OR(AND($I611&lt;&gt;"",N($I611)&lt;=IFERROR(INDEX('Intervals'!$E$4:$E$33,MATCH($B611,'Intervals'!$A$4:$A$33,0)),500)),AND($J611&lt;&gt;"",N($J611)&lt;=IFERROR(INDEX('Intervals'!$F$4:$F$33,MATCH($B611,'Intervals'!$A$4:$A$33,0)),14))),"Due soon","OK")))</f>
        <v/>
      </c>
      <c r="N611" s="15" t="n"/>
      <c r="O611" s="22">
        <f>IF(OR($M611="",$M611="OK"),"",$L611+ROW()/100000)</f>
        <v/>
      </c>
    </row>
    <row r="612">
      <c r="A612" s="15" t="n"/>
      <c r="B612" s="15" t="n"/>
      <c r="C612" s="16">
        <f>IF($B612="","",IFERROR(INDEX('Intervals'!$B$4:$B$33,MATCH($B612,'Intervals'!$A$4:$A$33,0)),""))</f>
        <v/>
      </c>
      <c r="D612" s="17" t="n"/>
      <c r="E612" s="18" t="n"/>
      <c r="F612" s="19">
        <f>IF(OR($B612="",$E612=""),"",IFERROR(IF(AND(INDEX('Intervals'!$G$4:$G$33,MATCH($B612,'Intervals'!$A$4:$A$33,0))&lt;&gt;"No",N(INDEX('Intervals'!$C$4:$C$33,MATCH($B612,'Intervals'!$A$4:$A$33,0)))&gt;0),$E612+N(INDEX('Intervals'!$C$4:$C$33,MATCH($B612,'Intervals'!$A$4:$A$33,0))),""),""))</f>
        <v/>
      </c>
      <c r="G612" s="20">
        <f>IF(OR($B612="",$D612=""),"",IFERROR(IF(AND(INDEX('Intervals'!$G$4:$G$33,MATCH($B612,'Intervals'!$A$4:$A$33,0))&lt;&gt;"No",N(INDEX('Intervals'!$D$4:$D$33,MATCH($B612,'Intervals'!$A$4:$A$33,0)))&gt;0),EDATE($D612,N(INDEX('Intervals'!$D$4:$D$33,MATCH($B612,'Intervals'!$A$4:$A$33,0)))),""),""))</f>
        <v/>
      </c>
      <c r="H612" s="19">
        <f>IF($A612="","",IFERROR(IF(N(INDEX('Cars'!$H$4:$H$103,MATCH($A612,'Cars'!$A$4:$A$103,0)))&gt;0,INDEX('Cars'!$H$4:$H$103,MATCH($A612,'Cars'!$A$4:$A$103,0)),""),""))</f>
        <v/>
      </c>
      <c r="I612" s="19">
        <f>IF(OR($F612="",$H612=""),"",$F612-$H612)</f>
        <v/>
      </c>
      <c r="J612" s="21">
        <f>IF($G612="","",$G612-TODAY())</f>
        <v/>
      </c>
      <c r="K612" s="21">
        <f>IF($I612="","",IFERROR(IF(N(INDEX('Cars'!$J$4:$J$103,MATCH($A612,'Cars'!$A$4:$A$103,0)))&gt;0,ROUND($I612/INDEX('Cars'!$J$4:$J$103,MATCH($A612,'Cars'!$A$4:$A$103,0))*30,0),""),""))</f>
        <v/>
      </c>
      <c r="L612" s="21">
        <f>IF(AND($J612="",$K612=""),"",MIN(IF($J612="",99999,$J612),IF($K612="",99999,$K612)))</f>
        <v/>
      </c>
      <c r="M612" s="16">
        <f>IF(AND($I612="",$J612=""),"",IF(OR(AND($I612&lt;&gt;"",N($I612)&lt;0),AND($J612&lt;&gt;"",N($J612)&lt;0)),"Overdue",IF(OR(AND($I612&lt;&gt;"",N($I612)&lt;=IFERROR(INDEX('Intervals'!$E$4:$E$33,MATCH($B612,'Intervals'!$A$4:$A$33,0)),500)),AND($J612&lt;&gt;"",N($J612)&lt;=IFERROR(INDEX('Intervals'!$F$4:$F$33,MATCH($B612,'Intervals'!$A$4:$A$33,0)),14))),"Due soon","OK")))</f>
        <v/>
      </c>
      <c r="N612" s="15" t="n"/>
      <c r="O612" s="22">
        <f>IF(OR($M612="",$M612="OK"),"",$L612+ROW()/100000)</f>
        <v/>
      </c>
    </row>
    <row r="613">
      <c r="A613" s="15" t="n"/>
      <c r="B613" s="15" t="n"/>
      <c r="C613" s="16">
        <f>IF($B613="","",IFERROR(INDEX('Intervals'!$B$4:$B$33,MATCH($B613,'Intervals'!$A$4:$A$33,0)),""))</f>
        <v/>
      </c>
      <c r="D613" s="17" t="n"/>
      <c r="E613" s="18" t="n"/>
      <c r="F613" s="19">
        <f>IF(OR($B613="",$E613=""),"",IFERROR(IF(AND(INDEX('Intervals'!$G$4:$G$33,MATCH($B613,'Intervals'!$A$4:$A$33,0))&lt;&gt;"No",N(INDEX('Intervals'!$C$4:$C$33,MATCH($B613,'Intervals'!$A$4:$A$33,0)))&gt;0),$E613+N(INDEX('Intervals'!$C$4:$C$33,MATCH($B613,'Intervals'!$A$4:$A$33,0))),""),""))</f>
        <v/>
      </c>
      <c r="G613" s="20">
        <f>IF(OR($B613="",$D613=""),"",IFERROR(IF(AND(INDEX('Intervals'!$G$4:$G$33,MATCH($B613,'Intervals'!$A$4:$A$33,0))&lt;&gt;"No",N(INDEX('Intervals'!$D$4:$D$33,MATCH($B613,'Intervals'!$A$4:$A$33,0)))&gt;0),EDATE($D613,N(INDEX('Intervals'!$D$4:$D$33,MATCH($B613,'Intervals'!$A$4:$A$33,0)))),""),""))</f>
        <v/>
      </c>
      <c r="H613" s="19">
        <f>IF($A613="","",IFERROR(IF(N(INDEX('Cars'!$H$4:$H$103,MATCH($A613,'Cars'!$A$4:$A$103,0)))&gt;0,INDEX('Cars'!$H$4:$H$103,MATCH($A613,'Cars'!$A$4:$A$103,0)),""),""))</f>
        <v/>
      </c>
      <c r="I613" s="19">
        <f>IF(OR($F613="",$H613=""),"",$F613-$H613)</f>
        <v/>
      </c>
      <c r="J613" s="21">
        <f>IF($G613="","",$G613-TODAY())</f>
        <v/>
      </c>
      <c r="K613" s="21">
        <f>IF($I613="","",IFERROR(IF(N(INDEX('Cars'!$J$4:$J$103,MATCH($A613,'Cars'!$A$4:$A$103,0)))&gt;0,ROUND($I613/INDEX('Cars'!$J$4:$J$103,MATCH($A613,'Cars'!$A$4:$A$103,0))*30,0),""),""))</f>
        <v/>
      </c>
      <c r="L613" s="21">
        <f>IF(AND($J613="",$K613=""),"",MIN(IF($J613="",99999,$J613),IF($K613="",99999,$K613)))</f>
        <v/>
      </c>
      <c r="M613" s="16">
        <f>IF(AND($I613="",$J613=""),"",IF(OR(AND($I613&lt;&gt;"",N($I613)&lt;0),AND($J613&lt;&gt;"",N($J613)&lt;0)),"Overdue",IF(OR(AND($I613&lt;&gt;"",N($I613)&lt;=IFERROR(INDEX('Intervals'!$E$4:$E$33,MATCH($B613,'Intervals'!$A$4:$A$33,0)),500)),AND($J613&lt;&gt;"",N($J613)&lt;=IFERROR(INDEX('Intervals'!$F$4:$F$33,MATCH($B613,'Intervals'!$A$4:$A$33,0)),14))),"Due soon","OK")))</f>
        <v/>
      </c>
      <c r="N613" s="15" t="n"/>
      <c r="O613" s="22">
        <f>IF(OR($M613="",$M613="OK"),"",$L613+ROW()/100000)</f>
        <v/>
      </c>
    </row>
    <row r="614">
      <c r="A614" s="15" t="n"/>
      <c r="B614" s="15" t="n"/>
      <c r="C614" s="16">
        <f>IF($B614="","",IFERROR(INDEX('Intervals'!$B$4:$B$33,MATCH($B614,'Intervals'!$A$4:$A$33,0)),""))</f>
        <v/>
      </c>
      <c r="D614" s="17" t="n"/>
      <c r="E614" s="18" t="n"/>
      <c r="F614" s="19">
        <f>IF(OR($B614="",$E614=""),"",IFERROR(IF(AND(INDEX('Intervals'!$G$4:$G$33,MATCH($B614,'Intervals'!$A$4:$A$33,0))&lt;&gt;"No",N(INDEX('Intervals'!$C$4:$C$33,MATCH($B614,'Intervals'!$A$4:$A$33,0)))&gt;0),$E614+N(INDEX('Intervals'!$C$4:$C$33,MATCH($B614,'Intervals'!$A$4:$A$33,0))),""),""))</f>
        <v/>
      </c>
      <c r="G614" s="20">
        <f>IF(OR($B614="",$D614=""),"",IFERROR(IF(AND(INDEX('Intervals'!$G$4:$G$33,MATCH($B614,'Intervals'!$A$4:$A$33,0))&lt;&gt;"No",N(INDEX('Intervals'!$D$4:$D$33,MATCH($B614,'Intervals'!$A$4:$A$33,0)))&gt;0),EDATE($D614,N(INDEX('Intervals'!$D$4:$D$33,MATCH($B614,'Intervals'!$A$4:$A$33,0)))),""),""))</f>
        <v/>
      </c>
      <c r="H614" s="19">
        <f>IF($A614="","",IFERROR(IF(N(INDEX('Cars'!$H$4:$H$103,MATCH($A614,'Cars'!$A$4:$A$103,0)))&gt;0,INDEX('Cars'!$H$4:$H$103,MATCH($A614,'Cars'!$A$4:$A$103,0)),""),""))</f>
        <v/>
      </c>
      <c r="I614" s="19">
        <f>IF(OR($F614="",$H614=""),"",$F614-$H614)</f>
        <v/>
      </c>
      <c r="J614" s="21">
        <f>IF($G614="","",$G614-TODAY())</f>
        <v/>
      </c>
      <c r="K614" s="21">
        <f>IF($I614="","",IFERROR(IF(N(INDEX('Cars'!$J$4:$J$103,MATCH($A614,'Cars'!$A$4:$A$103,0)))&gt;0,ROUND($I614/INDEX('Cars'!$J$4:$J$103,MATCH($A614,'Cars'!$A$4:$A$103,0))*30,0),""),""))</f>
        <v/>
      </c>
      <c r="L614" s="21">
        <f>IF(AND($J614="",$K614=""),"",MIN(IF($J614="",99999,$J614),IF($K614="",99999,$K614)))</f>
        <v/>
      </c>
      <c r="M614" s="16">
        <f>IF(AND($I614="",$J614=""),"",IF(OR(AND($I614&lt;&gt;"",N($I614)&lt;0),AND($J614&lt;&gt;"",N($J614)&lt;0)),"Overdue",IF(OR(AND($I614&lt;&gt;"",N($I614)&lt;=IFERROR(INDEX('Intervals'!$E$4:$E$33,MATCH($B614,'Intervals'!$A$4:$A$33,0)),500)),AND($J614&lt;&gt;"",N($J614)&lt;=IFERROR(INDEX('Intervals'!$F$4:$F$33,MATCH($B614,'Intervals'!$A$4:$A$33,0)),14))),"Due soon","OK")))</f>
        <v/>
      </c>
      <c r="N614" s="15" t="n"/>
      <c r="O614" s="22">
        <f>IF(OR($M614="",$M614="OK"),"",$L614+ROW()/100000)</f>
        <v/>
      </c>
    </row>
    <row r="615">
      <c r="A615" s="15" t="n"/>
      <c r="B615" s="15" t="n"/>
      <c r="C615" s="16">
        <f>IF($B615="","",IFERROR(INDEX('Intervals'!$B$4:$B$33,MATCH($B615,'Intervals'!$A$4:$A$33,0)),""))</f>
        <v/>
      </c>
      <c r="D615" s="17" t="n"/>
      <c r="E615" s="18" t="n"/>
      <c r="F615" s="19">
        <f>IF(OR($B615="",$E615=""),"",IFERROR(IF(AND(INDEX('Intervals'!$G$4:$G$33,MATCH($B615,'Intervals'!$A$4:$A$33,0))&lt;&gt;"No",N(INDEX('Intervals'!$C$4:$C$33,MATCH($B615,'Intervals'!$A$4:$A$33,0)))&gt;0),$E615+N(INDEX('Intervals'!$C$4:$C$33,MATCH($B615,'Intervals'!$A$4:$A$33,0))),""),""))</f>
        <v/>
      </c>
      <c r="G615" s="20">
        <f>IF(OR($B615="",$D615=""),"",IFERROR(IF(AND(INDEX('Intervals'!$G$4:$G$33,MATCH($B615,'Intervals'!$A$4:$A$33,0))&lt;&gt;"No",N(INDEX('Intervals'!$D$4:$D$33,MATCH($B615,'Intervals'!$A$4:$A$33,0)))&gt;0),EDATE($D615,N(INDEX('Intervals'!$D$4:$D$33,MATCH($B615,'Intervals'!$A$4:$A$33,0)))),""),""))</f>
        <v/>
      </c>
      <c r="H615" s="19">
        <f>IF($A615="","",IFERROR(IF(N(INDEX('Cars'!$H$4:$H$103,MATCH($A615,'Cars'!$A$4:$A$103,0)))&gt;0,INDEX('Cars'!$H$4:$H$103,MATCH($A615,'Cars'!$A$4:$A$103,0)),""),""))</f>
        <v/>
      </c>
      <c r="I615" s="19">
        <f>IF(OR($F615="",$H615=""),"",$F615-$H615)</f>
        <v/>
      </c>
      <c r="J615" s="21">
        <f>IF($G615="","",$G615-TODAY())</f>
        <v/>
      </c>
      <c r="K615" s="21">
        <f>IF($I615="","",IFERROR(IF(N(INDEX('Cars'!$J$4:$J$103,MATCH($A615,'Cars'!$A$4:$A$103,0)))&gt;0,ROUND($I615/INDEX('Cars'!$J$4:$J$103,MATCH($A615,'Cars'!$A$4:$A$103,0))*30,0),""),""))</f>
        <v/>
      </c>
      <c r="L615" s="21">
        <f>IF(AND($J615="",$K615=""),"",MIN(IF($J615="",99999,$J615),IF($K615="",99999,$K615)))</f>
        <v/>
      </c>
      <c r="M615" s="16">
        <f>IF(AND($I615="",$J615=""),"",IF(OR(AND($I615&lt;&gt;"",N($I615)&lt;0),AND($J615&lt;&gt;"",N($J615)&lt;0)),"Overdue",IF(OR(AND($I615&lt;&gt;"",N($I615)&lt;=IFERROR(INDEX('Intervals'!$E$4:$E$33,MATCH($B615,'Intervals'!$A$4:$A$33,0)),500)),AND($J615&lt;&gt;"",N($J615)&lt;=IFERROR(INDEX('Intervals'!$F$4:$F$33,MATCH($B615,'Intervals'!$A$4:$A$33,0)),14))),"Due soon","OK")))</f>
        <v/>
      </c>
      <c r="N615" s="15" t="n"/>
      <c r="O615" s="22">
        <f>IF(OR($M615="",$M615="OK"),"",$L615+ROW()/100000)</f>
        <v/>
      </c>
    </row>
    <row r="616">
      <c r="A616" s="15" t="n"/>
      <c r="B616" s="15" t="n"/>
      <c r="C616" s="16">
        <f>IF($B616="","",IFERROR(INDEX('Intervals'!$B$4:$B$33,MATCH($B616,'Intervals'!$A$4:$A$33,0)),""))</f>
        <v/>
      </c>
      <c r="D616" s="17" t="n"/>
      <c r="E616" s="18" t="n"/>
      <c r="F616" s="19">
        <f>IF(OR($B616="",$E616=""),"",IFERROR(IF(AND(INDEX('Intervals'!$G$4:$G$33,MATCH($B616,'Intervals'!$A$4:$A$33,0))&lt;&gt;"No",N(INDEX('Intervals'!$C$4:$C$33,MATCH($B616,'Intervals'!$A$4:$A$33,0)))&gt;0),$E616+N(INDEX('Intervals'!$C$4:$C$33,MATCH($B616,'Intervals'!$A$4:$A$33,0))),""),""))</f>
        <v/>
      </c>
      <c r="G616" s="20">
        <f>IF(OR($B616="",$D616=""),"",IFERROR(IF(AND(INDEX('Intervals'!$G$4:$G$33,MATCH($B616,'Intervals'!$A$4:$A$33,0))&lt;&gt;"No",N(INDEX('Intervals'!$D$4:$D$33,MATCH($B616,'Intervals'!$A$4:$A$33,0)))&gt;0),EDATE($D616,N(INDEX('Intervals'!$D$4:$D$33,MATCH($B616,'Intervals'!$A$4:$A$33,0)))),""),""))</f>
        <v/>
      </c>
      <c r="H616" s="19">
        <f>IF($A616="","",IFERROR(IF(N(INDEX('Cars'!$H$4:$H$103,MATCH($A616,'Cars'!$A$4:$A$103,0)))&gt;0,INDEX('Cars'!$H$4:$H$103,MATCH($A616,'Cars'!$A$4:$A$103,0)),""),""))</f>
        <v/>
      </c>
      <c r="I616" s="19">
        <f>IF(OR($F616="",$H616=""),"",$F616-$H616)</f>
        <v/>
      </c>
      <c r="J616" s="21">
        <f>IF($G616="","",$G616-TODAY())</f>
        <v/>
      </c>
      <c r="K616" s="21">
        <f>IF($I616="","",IFERROR(IF(N(INDEX('Cars'!$J$4:$J$103,MATCH($A616,'Cars'!$A$4:$A$103,0)))&gt;0,ROUND($I616/INDEX('Cars'!$J$4:$J$103,MATCH($A616,'Cars'!$A$4:$A$103,0))*30,0),""),""))</f>
        <v/>
      </c>
      <c r="L616" s="21">
        <f>IF(AND($J616="",$K616=""),"",MIN(IF($J616="",99999,$J616),IF($K616="",99999,$K616)))</f>
        <v/>
      </c>
      <c r="M616" s="16">
        <f>IF(AND($I616="",$J616=""),"",IF(OR(AND($I616&lt;&gt;"",N($I616)&lt;0),AND($J616&lt;&gt;"",N($J616)&lt;0)),"Overdue",IF(OR(AND($I616&lt;&gt;"",N($I616)&lt;=IFERROR(INDEX('Intervals'!$E$4:$E$33,MATCH($B616,'Intervals'!$A$4:$A$33,0)),500)),AND($J616&lt;&gt;"",N($J616)&lt;=IFERROR(INDEX('Intervals'!$F$4:$F$33,MATCH($B616,'Intervals'!$A$4:$A$33,0)),14))),"Due soon","OK")))</f>
        <v/>
      </c>
      <c r="N616" s="15" t="n"/>
      <c r="O616" s="22">
        <f>IF(OR($M616="",$M616="OK"),"",$L616+ROW()/100000)</f>
        <v/>
      </c>
    </row>
    <row r="617">
      <c r="A617" s="15" t="n"/>
      <c r="B617" s="15" t="n"/>
      <c r="C617" s="16">
        <f>IF($B617="","",IFERROR(INDEX('Intervals'!$B$4:$B$33,MATCH($B617,'Intervals'!$A$4:$A$33,0)),""))</f>
        <v/>
      </c>
      <c r="D617" s="17" t="n"/>
      <c r="E617" s="18" t="n"/>
      <c r="F617" s="19">
        <f>IF(OR($B617="",$E617=""),"",IFERROR(IF(AND(INDEX('Intervals'!$G$4:$G$33,MATCH($B617,'Intervals'!$A$4:$A$33,0))&lt;&gt;"No",N(INDEX('Intervals'!$C$4:$C$33,MATCH($B617,'Intervals'!$A$4:$A$33,0)))&gt;0),$E617+N(INDEX('Intervals'!$C$4:$C$33,MATCH($B617,'Intervals'!$A$4:$A$33,0))),""),""))</f>
        <v/>
      </c>
      <c r="G617" s="20">
        <f>IF(OR($B617="",$D617=""),"",IFERROR(IF(AND(INDEX('Intervals'!$G$4:$G$33,MATCH($B617,'Intervals'!$A$4:$A$33,0))&lt;&gt;"No",N(INDEX('Intervals'!$D$4:$D$33,MATCH($B617,'Intervals'!$A$4:$A$33,0)))&gt;0),EDATE($D617,N(INDEX('Intervals'!$D$4:$D$33,MATCH($B617,'Intervals'!$A$4:$A$33,0)))),""),""))</f>
        <v/>
      </c>
      <c r="H617" s="19">
        <f>IF($A617="","",IFERROR(IF(N(INDEX('Cars'!$H$4:$H$103,MATCH($A617,'Cars'!$A$4:$A$103,0)))&gt;0,INDEX('Cars'!$H$4:$H$103,MATCH($A617,'Cars'!$A$4:$A$103,0)),""),""))</f>
        <v/>
      </c>
      <c r="I617" s="19">
        <f>IF(OR($F617="",$H617=""),"",$F617-$H617)</f>
        <v/>
      </c>
      <c r="J617" s="21">
        <f>IF($G617="","",$G617-TODAY())</f>
        <v/>
      </c>
      <c r="K617" s="21">
        <f>IF($I617="","",IFERROR(IF(N(INDEX('Cars'!$J$4:$J$103,MATCH($A617,'Cars'!$A$4:$A$103,0)))&gt;0,ROUND($I617/INDEX('Cars'!$J$4:$J$103,MATCH($A617,'Cars'!$A$4:$A$103,0))*30,0),""),""))</f>
        <v/>
      </c>
      <c r="L617" s="21">
        <f>IF(AND($J617="",$K617=""),"",MIN(IF($J617="",99999,$J617),IF($K617="",99999,$K617)))</f>
        <v/>
      </c>
      <c r="M617" s="16">
        <f>IF(AND($I617="",$J617=""),"",IF(OR(AND($I617&lt;&gt;"",N($I617)&lt;0),AND($J617&lt;&gt;"",N($J617)&lt;0)),"Overdue",IF(OR(AND($I617&lt;&gt;"",N($I617)&lt;=IFERROR(INDEX('Intervals'!$E$4:$E$33,MATCH($B617,'Intervals'!$A$4:$A$33,0)),500)),AND($J617&lt;&gt;"",N($J617)&lt;=IFERROR(INDEX('Intervals'!$F$4:$F$33,MATCH($B617,'Intervals'!$A$4:$A$33,0)),14))),"Due soon","OK")))</f>
        <v/>
      </c>
      <c r="N617" s="15" t="n"/>
      <c r="O617" s="22">
        <f>IF(OR($M617="",$M617="OK"),"",$L617+ROW()/100000)</f>
        <v/>
      </c>
    </row>
    <row r="618">
      <c r="A618" s="15" t="n"/>
      <c r="B618" s="15" t="n"/>
      <c r="C618" s="16">
        <f>IF($B618="","",IFERROR(INDEX('Intervals'!$B$4:$B$33,MATCH($B618,'Intervals'!$A$4:$A$33,0)),""))</f>
        <v/>
      </c>
      <c r="D618" s="17" t="n"/>
      <c r="E618" s="18" t="n"/>
      <c r="F618" s="19">
        <f>IF(OR($B618="",$E618=""),"",IFERROR(IF(AND(INDEX('Intervals'!$G$4:$G$33,MATCH($B618,'Intervals'!$A$4:$A$33,0))&lt;&gt;"No",N(INDEX('Intervals'!$C$4:$C$33,MATCH($B618,'Intervals'!$A$4:$A$33,0)))&gt;0),$E618+N(INDEX('Intervals'!$C$4:$C$33,MATCH($B618,'Intervals'!$A$4:$A$33,0))),""),""))</f>
        <v/>
      </c>
      <c r="G618" s="20">
        <f>IF(OR($B618="",$D618=""),"",IFERROR(IF(AND(INDEX('Intervals'!$G$4:$G$33,MATCH($B618,'Intervals'!$A$4:$A$33,0))&lt;&gt;"No",N(INDEX('Intervals'!$D$4:$D$33,MATCH($B618,'Intervals'!$A$4:$A$33,0)))&gt;0),EDATE($D618,N(INDEX('Intervals'!$D$4:$D$33,MATCH($B618,'Intervals'!$A$4:$A$33,0)))),""),""))</f>
        <v/>
      </c>
      <c r="H618" s="19">
        <f>IF($A618="","",IFERROR(IF(N(INDEX('Cars'!$H$4:$H$103,MATCH($A618,'Cars'!$A$4:$A$103,0)))&gt;0,INDEX('Cars'!$H$4:$H$103,MATCH($A618,'Cars'!$A$4:$A$103,0)),""),""))</f>
        <v/>
      </c>
      <c r="I618" s="19">
        <f>IF(OR($F618="",$H618=""),"",$F618-$H618)</f>
        <v/>
      </c>
      <c r="J618" s="21">
        <f>IF($G618="","",$G618-TODAY())</f>
        <v/>
      </c>
      <c r="K618" s="21">
        <f>IF($I618="","",IFERROR(IF(N(INDEX('Cars'!$J$4:$J$103,MATCH($A618,'Cars'!$A$4:$A$103,0)))&gt;0,ROUND($I618/INDEX('Cars'!$J$4:$J$103,MATCH($A618,'Cars'!$A$4:$A$103,0))*30,0),""),""))</f>
        <v/>
      </c>
      <c r="L618" s="21">
        <f>IF(AND($J618="",$K618=""),"",MIN(IF($J618="",99999,$J618),IF($K618="",99999,$K618)))</f>
        <v/>
      </c>
      <c r="M618" s="16">
        <f>IF(AND($I618="",$J618=""),"",IF(OR(AND($I618&lt;&gt;"",N($I618)&lt;0),AND($J618&lt;&gt;"",N($J618)&lt;0)),"Overdue",IF(OR(AND($I618&lt;&gt;"",N($I618)&lt;=IFERROR(INDEX('Intervals'!$E$4:$E$33,MATCH($B618,'Intervals'!$A$4:$A$33,0)),500)),AND($J618&lt;&gt;"",N($J618)&lt;=IFERROR(INDEX('Intervals'!$F$4:$F$33,MATCH($B618,'Intervals'!$A$4:$A$33,0)),14))),"Due soon","OK")))</f>
        <v/>
      </c>
      <c r="N618" s="15" t="n"/>
      <c r="O618" s="22">
        <f>IF(OR($M618="",$M618="OK"),"",$L618+ROW()/100000)</f>
        <v/>
      </c>
    </row>
    <row r="619">
      <c r="A619" s="15" t="n"/>
      <c r="B619" s="15" t="n"/>
      <c r="C619" s="16">
        <f>IF($B619="","",IFERROR(INDEX('Intervals'!$B$4:$B$33,MATCH($B619,'Intervals'!$A$4:$A$33,0)),""))</f>
        <v/>
      </c>
      <c r="D619" s="17" t="n"/>
      <c r="E619" s="18" t="n"/>
      <c r="F619" s="19">
        <f>IF(OR($B619="",$E619=""),"",IFERROR(IF(AND(INDEX('Intervals'!$G$4:$G$33,MATCH($B619,'Intervals'!$A$4:$A$33,0))&lt;&gt;"No",N(INDEX('Intervals'!$C$4:$C$33,MATCH($B619,'Intervals'!$A$4:$A$33,0)))&gt;0),$E619+N(INDEX('Intervals'!$C$4:$C$33,MATCH($B619,'Intervals'!$A$4:$A$33,0))),""),""))</f>
        <v/>
      </c>
      <c r="G619" s="20">
        <f>IF(OR($B619="",$D619=""),"",IFERROR(IF(AND(INDEX('Intervals'!$G$4:$G$33,MATCH($B619,'Intervals'!$A$4:$A$33,0))&lt;&gt;"No",N(INDEX('Intervals'!$D$4:$D$33,MATCH($B619,'Intervals'!$A$4:$A$33,0)))&gt;0),EDATE($D619,N(INDEX('Intervals'!$D$4:$D$33,MATCH($B619,'Intervals'!$A$4:$A$33,0)))),""),""))</f>
        <v/>
      </c>
      <c r="H619" s="19">
        <f>IF($A619="","",IFERROR(IF(N(INDEX('Cars'!$H$4:$H$103,MATCH($A619,'Cars'!$A$4:$A$103,0)))&gt;0,INDEX('Cars'!$H$4:$H$103,MATCH($A619,'Cars'!$A$4:$A$103,0)),""),""))</f>
        <v/>
      </c>
      <c r="I619" s="19">
        <f>IF(OR($F619="",$H619=""),"",$F619-$H619)</f>
        <v/>
      </c>
      <c r="J619" s="21">
        <f>IF($G619="","",$G619-TODAY())</f>
        <v/>
      </c>
      <c r="K619" s="21">
        <f>IF($I619="","",IFERROR(IF(N(INDEX('Cars'!$J$4:$J$103,MATCH($A619,'Cars'!$A$4:$A$103,0)))&gt;0,ROUND($I619/INDEX('Cars'!$J$4:$J$103,MATCH($A619,'Cars'!$A$4:$A$103,0))*30,0),""),""))</f>
        <v/>
      </c>
      <c r="L619" s="21">
        <f>IF(AND($J619="",$K619=""),"",MIN(IF($J619="",99999,$J619),IF($K619="",99999,$K619)))</f>
        <v/>
      </c>
      <c r="M619" s="16">
        <f>IF(AND($I619="",$J619=""),"",IF(OR(AND($I619&lt;&gt;"",N($I619)&lt;0),AND($J619&lt;&gt;"",N($J619)&lt;0)),"Overdue",IF(OR(AND($I619&lt;&gt;"",N($I619)&lt;=IFERROR(INDEX('Intervals'!$E$4:$E$33,MATCH($B619,'Intervals'!$A$4:$A$33,0)),500)),AND($J619&lt;&gt;"",N($J619)&lt;=IFERROR(INDEX('Intervals'!$F$4:$F$33,MATCH($B619,'Intervals'!$A$4:$A$33,0)),14))),"Due soon","OK")))</f>
        <v/>
      </c>
      <c r="N619" s="15" t="n"/>
      <c r="O619" s="22">
        <f>IF(OR($M619="",$M619="OK"),"",$L619+ROW()/100000)</f>
        <v/>
      </c>
    </row>
    <row r="620">
      <c r="A620" s="15" t="n"/>
      <c r="B620" s="15" t="n"/>
      <c r="C620" s="16">
        <f>IF($B620="","",IFERROR(INDEX('Intervals'!$B$4:$B$33,MATCH($B620,'Intervals'!$A$4:$A$33,0)),""))</f>
        <v/>
      </c>
      <c r="D620" s="17" t="n"/>
      <c r="E620" s="18" t="n"/>
      <c r="F620" s="19">
        <f>IF(OR($B620="",$E620=""),"",IFERROR(IF(AND(INDEX('Intervals'!$G$4:$G$33,MATCH($B620,'Intervals'!$A$4:$A$33,0))&lt;&gt;"No",N(INDEX('Intervals'!$C$4:$C$33,MATCH($B620,'Intervals'!$A$4:$A$33,0)))&gt;0),$E620+N(INDEX('Intervals'!$C$4:$C$33,MATCH($B620,'Intervals'!$A$4:$A$33,0))),""),""))</f>
        <v/>
      </c>
      <c r="G620" s="20">
        <f>IF(OR($B620="",$D620=""),"",IFERROR(IF(AND(INDEX('Intervals'!$G$4:$G$33,MATCH($B620,'Intervals'!$A$4:$A$33,0))&lt;&gt;"No",N(INDEX('Intervals'!$D$4:$D$33,MATCH($B620,'Intervals'!$A$4:$A$33,0)))&gt;0),EDATE($D620,N(INDEX('Intervals'!$D$4:$D$33,MATCH($B620,'Intervals'!$A$4:$A$33,0)))),""),""))</f>
        <v/>
      </c>
      <c r="H620" s="19">
        <f>IF($A620="","",IFERROR(IF(N(INDEX('Cars'!$H$4:$H$103,MATCH($A620,'Cars'!$A$4:$A$103,0)))&gt;0,INDEX('Cars'!$H$4:$H$103,MATCH($A620,'Cars'!$A$4:$A$103,0)),""),""))</f>
        <v/>
      </c>
      <c r="I620" s="19">
        <f>IF(OR($F620="",$H620=""),"",$F620-$H620)</f>
        <v/>
      </c>
      <c r="J620" s="21">
        <f>IF($G620="","",$G620-TODAY())</f>
        <v/>
      </c>
      <c r="K620" s="21">
        <f>IF($I620="","",IFERROR(IF(N(INDEX('Cars'!$J$4:$J$103,MATCH($A620,'Cars'!$A$4:$A$103,0)))&gt;0,ROUND($I620/INDEX('Cars'!$J$4:$J$103,MATCH($A620,'Cars'!$A$4:$A$103,0))*30,0),""),""))</f>
        <v/>
      </c>
      <c r="L620" s="21">
        <f>IF(AND($J620="",$K620=""),"",MIN(IF($J620="",99999,$J620),IF($K620="",99999,$K620)))</f>
        <v/>
      </c>
      <c r="M620" s="16">
        <f>IF(AND($I620="",$J620=""),"",IF(OR(AND($I620&lt;&gt;"",N($I620)&lt;0),AND($J620&lt;&gt;"",N($J620)&lt;0)),"Overdue",IF(OR(AND($I620&lt;&gt;"",N($I620)&lt;=IFERROR(INDEX('Intervals'!$E$4:$E$33,MATCH($B620,'Intervals'!$A$4:$A$33,0)),500)),AND($J620&lt;&gt;"",N($J620)&lt;=IFERROR(INDEX('Intervals'!$F$4:$F$33,MATCH($B620,'Intervals'!$A$4:$A$33,0)),14))),"Due soon","OK")))</f>
        <v/>
      </c>
      <c r="N620" s="15" t="n"/>
      <c r="O620" s="22">
        <f>IF(OR($M620="",$M620="OK"),"",$L620+ROW()/100000)</f>
        <v/>
      </c>
    </row>
    <row r="621">
      <c r="A621" s="15" t="n"/>
      <c r="B621" s="15" t="n"/>
      <c r="C621" s="16">
        <f>IF($B621="","",IFERROR(INDEX('Intervals'!$B$4:$B$33,MATCH($B621,'Intervals'!$A$4:$A$33,0)),""))</f>
        <v/>
      </c>
      <c r="D621" s="17" t="n"/>
      <c r="E621" s="18" t="n"/>
      <c r="F621" s="19">
        <f>IF(OR($B621="",$E621=""),"",IFERROR(IF(AND(INDEX('Intervals'!$G$4:$G$33,MATCH($B621,'Intervals'!$A$4:$A$33,0))&lt;&gt;"No",N(INDEX('Intervals'!$C$4:$C$33,MATCH($B621,'Intervals'!$A$4:$A$33,0)))&gt;0),$E621+N(INDEX('Intervals'!$C$4:$C$33,MATCH($B621,'Intervals'!$A$4:$A$33,0))),""),""))</f>
        <v/>
      </c>
      <c r="G621" s="20">
        <f>IF(OR($B621="",$D621=""),"",IFERROR(IF(AND(INDEX('Intervals'!$G$4:$G$33,MATCH($B621,'Intervals'!$A$4:$A$33,0))&lt;&gt;"No",N(INDEX('Intervals'!$D$4:$D$33,MATCH($B621,'Intervals'!$A$4:$A$33,0)))&gt;0),EDATE($D621,N(INDEX('Intervals'!$D$4:$D$33,MATCH($B621,'Intervals'!$A$4:$A$33,0)))),""),""))</f>
        <v/>
      </c>
      <c r="H621" s="19">
        <f>IF($A621="","",IFERROR(IF(N(INDEX('Cars'!$H$4:$H$103,MATCH($A621,'Cars'!$A$4:$A$103,0)))&gt;0,INDEX('Cars'!$H$4:$H$103,MATCH($A621,'Cars'!$A$4:$A$103,0)),""),""))</f>
        <v/>
      </c>
      <c r="I621" s="19">
        <f>IF(OR($F621="",$H621=""),"",$F621-$H621)</f>
        <v/>
      </c>
      <c r="J621" s="21">
        <f>IF($G621="","",$G621-TODAY())</f>
        <v/>
      </c>
      <c r="K621" s="21">
        <f>IF($I621="","",IFERROR(IF(N(INDEX('Cars'!$J$4:$J$103,MATCH($A621,'Cars'!$A$4:$A$103,0)))&gt;0,ROUND($I621/INDEX('Cars'!$J$4:$J$103,MATCH($A621,'Cars'!$A$4:$A$103,0))*30,0),""),""))</f>
        <v/>
      </c>
      <c r="L621" s="21">
        <f>IF(AND($J621="",$K621=""),"",MIN(IF($J621="",99999,$J621),IF($K621="",99999,$K621)))</f>
        <v/>
      </c>
      <c r="M621" s="16">
        <f>IF(AND($I621="",$J621=""),"",IF(OR(AND($I621&lt;&gt;"",N($I621)&lt;0),AND($J621&lt;&gt;"",N($J621)&lt;0)),"Overdue",IF(OR(AND($I621&lt;&gt;"",N($I621)&lt;=IFERROR(INDEX('Intervals'!$E$4:$E$33,MATCH($B621,'Intervals'!$A$4:$A$33,0)),500)),AND($J621&lt;&gt;"",N($J621)&lt;=IFERROR(INDEX('Intervals'!$F$4:$F$33,MATCH($B621,'Intervals'!$A$4:$A$33,0)),14))),"Due soon","OK")))</f>
        <v/>
      </c>
      <c r="N621" s="15" t="n"/>
      <c r="O621" s="22">
        <f>IF(OR($M621="",$M621="OK"),"",$L621+ROW()/100000)</f>
        <v/>
      </c>
    </row>
    <row r="622">
      <c r="A622" s="15" t="n"/>
      <c r="B622" s="15" t="n"/>
      <c r="C622" s="16">
        <f>IF($B622="","",IFERROR(INDEX('Intervals'!$B$4:$B$33,MATCH($B622,'Intervals'!$A$4:$A$33,0)),""))</f>
        <v/>
      </c>
      <c r="D622" s="17" t="n"/>
      <c r="E622" s="18" t="n"/>
      <c r="F622" s="19">
        <f>IF(OR($B622="",$E622=""),"",IFERROR(IF(AND(INDEX('Intervals'!$G$4:$G$33,MATCH($B622,'Intervals'!$A$4:$A$33,0))&lt;&gt;"No",N(INDEX('Intervals'!$C$4:$C$33,MATCH($B622,'Intervals'!$A$4:$A$33,0)))&gt;0),$E622+N(INDEX('Intervals'!$C$4:$C$33,MATCH($B622,'Intervals'!$A$4:$A$33,0))),""),""))</f>
        <v/>
      </c>
      <c r="G622" s="20">
        <f>IF(OR($B622="",$D622=""),"",IFERROR(IF(AND(INDEX('Intervals'!$G$4:$G$33,MATCH($B622,'Intervals'!$A$4:$A$33,0))&lt;&gt;"No",N(INDEX('Intervals'!$D$4:$D$33,MATCH($B622,'Intervals'!$A$4:$A$33,0)))&gt;0),EDATE($D622,N(INDEX('Intervals'!$D$4:$D$33,MATCH($B622,'Intervals'!$A$4:$A$33,0)))),""),""))</f>
        <v/>
      </c>
      <c r="H622" s="19">
        <f>IF($A622="","",IFERROR(IF(N(INDEX('Cars'!$H$4:$H$103,MATCH($A622,'Cars'!$A$4:$A$103,0)))&gt;0,INDEX('Cars'!$H$4:$H$103,MATCH($A622,'Cars'!$A$4:$A$103,0)),""),""))</f>
        <v/>
      </c>
      <c r="I622" s="19">
        <f>IF(OR($F622="",$H622=""),"",$F622-$H622)</f>
        <v/>
      </c>
      <c r="J622" s="21">
        <f>IF($G622="","",$G622-TODAY())</f>
        <v/>
      </c>
      <c r="K622" s="21">
        <f>IF($I622="","",IFERROR(IF(N(INDEX('Cars'!$J$4:$J$103,MATCH($A622,'Cars'!$A$4:$A$103,0)))&gt;0,ROUND($I622/INDEX('Cars'!$J$4:$J$103,MATCH($A622,'Cars'!$A$4:$A$103,0))*30,0),""),""))</f>
        <v/>
      </c>
      <c r="L622" s="21">
        <f>IF(AND($J622="",$K622=""),"",MIN(IF($J622="",99999,$J622),IF($K622="",99999,$K622)))</f>
        <v/>
      </c>
      <c r="M622" s="16">
        <f>IF(AND($I622="",$J622=""),"",IF(OR(AND($I622&lt;&gt;"",N($I622)&lt;0),AND($J622&lt;&gt;"",N($J622)&lt;0)),"Overdue",IF(OR(AND($I622&lt;&gt;"",N($I622)&lt;=IFERROR(INDEX('Intervals'!$E$4:$E$33,MATCH($B622,'Intervals'!$A$4:$A$33,0)),500)),AND($J622&lt;&gt;"",N($J622)&lt;=IFERROR(INDEX('Intervals'!$F$4:$F$33,MATCH($B622,'Intervals'!$A$4:$A$33,0)),14))),"Due soon","OK")))</f>
        <v/>
      </c>
      <c r="N622" s="15" t="n"/>
      <c r="O622" s="22">
        <f>IF(OR($M622="",$M622="OK"),"",$L622+ROW()/100000)</f>
        <v/>
      </c>
    </row>
    <row r="623">
      <c r="A623" s="15" t="n"/>
      <c r="B623" s="15" t="n"/>
      <c r="C623" s="16">
        <f>IF($B623="","",IFERROR(INDEX('Intervals'!$B$4:$B$33,MATCH($B623,'Intervals'!$A$4:$A$33,0)),""))</f>
        <v/>
      </c>
      <c r="D623" s="17" t="n"/>
      <c r="E623" s="18" t="n"/>
      <c r="F623" s="19">
        <f>IF(OR($B623="",$E623=""),"",IFERROR(IF(AND(INDEX('Intervals'!$G$4:$G$33,MATCH($B623,'Intervals'!$A$4:$A$33,0))&lt;&gt;"No",N(INDEX('Intervals'!$C$4:$C$33,MATCH($B623,'Intervals'!$A$4:$A$33,0)))&gt;0),$E623+N(INDEX('Intervals'!$C$4:$C$33,MATCH($B623,'Intervals'!$A$4:$A$33,0))),""),""))</f>
        <v/>
      </c>
      <c r="G623" s="20">
        <f>IF(OR($B623="",$D623=""),"",IFERROR(IF(AND(INDEX('Intervals'!$G$4:$G$33,MATCH($B623,'Intervals'!$A$4:$A$33,0))&lt;&gt;"No",N(INDEX('Intervals'!$D$4:$D$33,MATCH($B623,'Intervals'!$A$4:$A$33,0)))&gt;0),EDATE($D623,N(INDEX('Intervals'!$D$4:$D$33,MATCH($B623,'Intervals'!$A$4:$A$33,0)))),""),""))</f>
        <v/>
      </c>
      <c r="H623" s="19">
        <f>IF($A623="","",IFERROR(IF(N(INDEX('Cars'!$H$4:$H$103,MATCH($A623,'Cars'!$A$4:$A$103,0)))&gt;0,INDEX('Cars'!$H$4:$H$103,MATCH($A623,'Cars'!$A$4:$A$103,0)),""),""))</f>
        <v/>
      </c>
      <c r="I623" s="19">
        <f>IF(OR($F623="",$H623=""),"",$F623-$H623)</f>
        <v/>
      </c>
      <c r="J623" s="21">
        <f>IF($G623="","",$G623-TODAY())</f>
        <v/>
      </c>
      <c r="K623" s="21">
        <f>IF($I623="","",IFERROR(IF(N(INDEX('Cars'!$J$4:$J$103,MATCH($A623,'Cars'!$A$4:$A$103,0)))&gt;0,ROUND($I623/INDEX('Cars'!$J$4:$J$103,MATCH($A623,'Cars'!$A$4:$A$103,0))*30,0),""),""))</f>
        <v/>
      </c>
      <c r="L623" s="21">
        <f>IF(AND($J623="",$K623=""),"",MIN(IF($J623="",99999,$J623),IF($K623="",99999,$K623)))</f>
        <v/>
      </c>
      <c r="M623" s="16">
        <f>IF(AND($I623="",$J623=""),"",IF(OR(AND($I623&lt;&gt;"",N($I623)&lt;0),AND($J623&lt;&gt;"",N($J623)&lt;0)),"Overdue",IF(OR(AND($I623&lt;&gt;"",N($I623)&lt;=IFERROR(INDEX('Intervals'!$E$4:$E$33,MATCH($B623,'Intervals'!$A$4:$A$33,0)),500)),AND($J623&lt;&gt;"",N($J623)&lt;=IFERROR(INDEX('Intervals'!$F$4:$F$33,MATCH($B623,'Intervals'!$A$4:$A$33,0)),14))),"Due soon","OK")))</f>
        <v/>
      </c>
      <c r="N623" s="15" t="n"/>
      <c r="O623" s="22">
        <f>IF(OR($M623="",$M623="OK"),"",$L623+ROW()/100000)</f>
        <v/>
      </c>
    </row>
    <row r="624">
      <c r="A624" s="15" t="n"/>
      <c r="B624" s="15" t="n"/>
      <c r="C624" s="16">
        <f>IF($B624="","",IFERROR(INDEX('Intervals'!$B$4:$B$33,MATCH($B624,'Intervals'!$A$4:$A$33,0)),""))</f>
        <v/>
      </c>
      <c r="D624" s="17" t="n"/>
      <c r="E624" s="18" t="n"/>
      <c r="F624" s="19">
        <f>IF(OR($B624="",$E624=""),"",IFERROR(IF(AND(INDEX('Intervals'!$G$4:$G$33,MATCH($B624,'Intervals'!$A$4:$A$33,0))&lt;&gt;"No",N(INDEX('Intervals'!$C$4:$C$33,MATCH($B624,'Intervals'!$A$4:$A$33,0)))&gt;0),$E624+N(INDEX('Intervals'!$C$4:$C$33,MATCH($B624,'Intervals'!$A$4:$A$33,0))),""),""))</f>
        <v/>
      </c>
      <c r="G624" s="20">
        <f>IF(OR($B624="",$D624=""),"",IFERROR(IF(AND(INDEX('Intervals'!$G$4:$G$33,MATCH($B624,'Intervals'!$A$4:$A$33,0))&lt;&gt;"No",N(INDEX('Intervals'!$D$4:$D$33,MATCH($B624,'Intervals'!$A$4:$A$33,0)))&gt;0),EDATE($D624,N(INDEX('Intervals'!$D$4:$D$33,MATCH($B624,'Intervals'!$A$4:$A$33,0)))),""),""))</f>
        <v/>
      </c>
      <c r="H624" s="19">
        <f>IF($A624="","",IFERROR(IF(N(INDEX('Cars'!$H$4:$H$103,MATCH($A624,'Cars'!$A$4:$A$103,0)))&gt;0,INDEX('Cars'!$H$4:$H$103,MATCH($A624,'Cars'!$A$4:$A$103,0)),""),""))</f>
        <v/>
      </c>
      <c r="I624" s="19">
        <f>IF(OR($F624="",$H624=""),"",$F624-$H624)</f>
        <v/>
      </c>
      <c r="J624" s="21">
        <f>IF($G624="","",$G624-TODAY())</f>
        <v/>
      </c>
      <c r="K624" s="21">
        <f>IF($I624="","",IFERROR(IF(N(INDEX('Cars'!$J$4:$J$103,MATCH($A624,'Cars'!$A$4:$A$103,0)))&gt;0,ROUND($I624/INDEX('Cars'!$J$4:$J$103,MATCH($A624,'Cars'!$A$4:$A$103,0))*30,0),""),""))</f>
        <v/>
      </c>
      <c r="L624" s="21">
        <f>IF(AND($J624="",$K624=""),"",MIN(IF($J624="",99999,$J624),IF($K624="",99999,$K624)))</f>
        <v/>
      </c>
      <c r="M624" s="16">
        <f>IF(AND($I624="",$J624=""),"",IF(OR(AND($I624&lt;&gt;"",N($I624)&lt;0),AND($J624&lt;&gt;"",N($J624)&lt;0)),"Overdue",IF(OR(AND($I624&lt;&gt;"",N($I624)&lt;=IFERROR(INDEX('Intervals'!$E$4:$E$33,MATCH($B624,'Intervals'!$A$4:$A$33,0)),500)),AND($J624&lt;&gt;"",N($J624)&lt;=IFERROR(INDEX('Intervals'!$F$4:$F$33,MATCH($B624,'Intervals'!$A$4:$A$33,0)),14))),"Due soon","OK")))</f>
        <v/>
      </c>
      <c r="N624" s="15" t="n"/>
      <c r="O624" s="22">
        <f>IF(OR($M624="",$M624="OK"),"",$L624+ROW()/100000)</f>
        <v/>
      </c>
    </row>
    <row r="625">
      <c r="A625" s="15" t="n"/>
      <c r="B625" s="15" t="n"/>
      <c r="C625" s="16">
        <f>IF($B625="","",IFERROR(INDEX('Intervals'!$B$4:$B$33,MATCH($B625,'Intervals'!$A$4:$A$33,0)),""))</f>
        <v/>
      </c>
      <c r="D625" s="17" t="n"/>
      <c r="E625" s="18" t="n"/>
      <c r="F625" s="19">
        <f>IF(OR($B625="",$E625=""),"",IFERROR(IF(AND(INDEX('Intervals'!$G$4:$G$33,MATCH($B625,'Intervals'!$A$4:$A$33,0))&lt;&gt;"No",N(INDEX('Intervals'!$C$4:$C$33,MATCH($B625,'Intervals'!$A$4:$A$33,0)))&gt;0),$E625+N(INDEX('Intervals'!$C$4:$C$33,MATCH($B625,'Intervals'!$A$4:$A$33,0))),""),""))</f>
        <v/>
      </c>
      <c r="G625" s="20">
        <f>IF(OR($B625="",$D625=""),"",IFERROR(IF(AND(INDEX('Intervals'!$G$4:$G$33,MATCH($B625,'Intervals'!$A$4:$A$33,0))&lt;&gt;"No",N(INDEX('Intervals'!$D$4:$D$33,MATCH($B625,'Intervals'!$A$4:$A$33,0)))&gt;0),EDATE($D625,N(INDEX('Intervals'!$D$4:$D$33,MATCH($B625,'Intervals'!$A$4:$A$33,0)))),""),""))</f>
        <v/>
      </c>
      <c r="H625" s="19">
        <f>IF($A625="","",IFERROR(IF(N(INDEX('Cars'!$H$4:$H$103,MATCH($A625,'Cars'!$A$4:$A$103,0)))&gt;0,INDEX('Cars'!$H$4:$H$103,MATCH($A625,'Cars'!$A$4:$A$103,0)),""),""))</f>
        <v/>
      </c>
      <c r="I625" s="19">
        <f>IF(OR($F625="",$H625=""),"",$F625-$H625)</f>
        <v/>
      </c>
      <c r="J625" s="21">
        <f>IF($G625="","",$G625-TODAY())</f>
        <v/>
      </c>
      <c r="K625" s="21">
        <f>IF($I625="","",IFERROR(IF(N(INDEX('Cars'!$J$4:$J$103,MATCH($A625,'Cars'!$A$4:$A$103,0)))&gt;0,ROUND($I625/INDEX('Cars'!$J$4:$J$103,MATCH($A625,'Cars'!$A$4:$A$103,0))*30,0),""),""))</f>
        <v/>
      </c>
      <c r="L625" s="21">
        <f>IF(AND($J625="",$K625=""),"",MIN(IF($J625="",99999,$J625),IF($K625="",99999,$K625)))</f>
        <v/>
      </c>
      <c r="M625" s="16">
        <f>IF(AND($I625="",$J625=""),"",IF(OR(AND($I625&lt;&gt;"",N($I625)&lt;0),AND($J625&lt;&gt;"",N($J625)&lt;0)),"Overdue",IF(OR(AND($I625&lt;&gt;"",N($I625)&lt;=IFERROR(INDEX('Intervals'!$E$4:$E$33,MATCH($B625,'Intervals'!$A$4:$A$33,0)),500)),AND($J625&lt;&gt;"",N($J625)&lt;=IFERROR(INDEX('Intervals'!$F$4:$F$33,MATCH($B625,'Intervals'!$A$4:$A$33,0)),14))),"Due soon","OK")))</f>
        <v/>
      </c>
      <c r="N625" s="15" t="n"/>
      <c r="O625" s="22">
        <f>IF(OR($M625="",$M625="OK"),"",$L625+ROW()/100000)</f>
        <v/>
      </c>
    </row>
    <row r="626">
      <c r="A626" s="15" t="n"/>
      <c r="B626" s="15" t="n"/>
      <c r="C626" s="16">
        <f>IF($B626="","",IFERROR(INDEX('Intervals'!$B$4:$B$33,MATCH($B626,'Intervals'!$A$4:$A$33,0)),""))</f>
        <v/>
      </c>
      <c r="D626" s="17" t="n"/>
      <c r="E626" s="18" t="n"/>
      <c r="F626" s="19">
        <f>IF(OR($B626="",$E626=""),"",IFERROR(IF(AND(INDEX('Intervals'!$G$4:$G$33,MATCH($B626,'Intervals'!$A$4:$A$33,0))&lt;&gt;"No",N(INDEX('Intervals'!$C$4:$C$33,MATCH($B626,'Intervals'!$A$4:$A$33,0)))&gt;0),$E626+N(INDEX('Intervals'!$C$4:$C$33,MATCH($B626,'Intervals'!$A$4:$A$33,0))),""),""))</f>
        <v/>
      </c>
      <c r="G626" s="20">
        <f>IF(OR($B626="",$D626=""),"",IFERROR(IF(AND(INDEX('Intervals'!$G$4:$G$33,MATCH($B626,'Intervals'!$A$4:$A$33,0))&lt;&gt;"No",N(INDEX('Intervals'!$D$4:$D$33,MATCH($B626,'Intervals'!$A$4:$A$33,0)))&gt;0),EDATE($D626,N(INDEX('Intervals'!$D$4:$D$33,MATCH($B626,'Intervals'!$A$4:$A$33,0)))),""),""))</f>
        <v/>
      </c>
      <c r="H626" s="19">
        <f>IF($A626="","",IFERROR(IF(N(INDEX('Cars'!$H$4:$H$103,MATCH($A626,'Cars'!$A$4:$A$103,0)))&gt;0,INDEX('Cars'!$H$4:$H$103,MATCH($A626,'Cars'!$A$4:$A$103,0)),""),""))</f>
        <v/>
      </c>
      <c r="I626" s="19">
        <f>IF(OR($F626="",$H626=""),"",$F626-$H626)</f>
        <v/>
      </c>
      <c r="J626" s="21">
        <f>IF($G626="","",$G626-TODAY())</f>
        <v/>
      </c>
      <c r="K626" s="21">
        <f>IF($I626="","",IFERROR(IF(N(INDEX('Cars'!$J$4:$J$103,MATCH($A626,'Cars'!$A$4:$A$103,0)))&gt;0,ROUND($I626/INDEX('Cars'!$J$4:$J$103,MATCH($A626,'Cars'!$A$4:$A$103,0))*30,0),""),""))</f>
        <v/>
      </c>
      <c r="L626" s="21">
        <f>IF(AND($J626="",$K626=""),"",MIN(IF($J626="",99999,$J626),IF($K626="",99999,$K626)))</f>
        <v/>
      </c>
      <c r="M626" s="16">
        <f>IF(AND($I626="",$J626=""),"",IF(OR(AND($I626&lt;&gt;"",N($I626)&lt;0),AND($J626&lt;&gt;"",N($J626)&lt;0)),"Overdue",IF(OR(AND($I626&lt;&gt;"",N($I626)&lt;=IFERROR(INDEX('Intervals'!$E$4:$E$33,MATCH($B626,'Intervals'!$A$4:$A$33,0)),500)),AND($J626&lt;&gt;"",N($J626)&lt;=IFERROR(INDEX('Intervals'!$F$4:$F$33,MATCH($B626,'Intervals'!$A$4:$A$33,0)),14))),"Due soon","OK")))</f>
        <v/>
      </c>
      <c r="N626" s="15" t="n"/>
      <c r="O626" s="22">
        <f>IF(OR($M626="",$M626="OK"),"",$L626+ROW()/100000)</f>
        <v/>
      </c>
    </row>
    <row r="627">
      <c r="A627" s="15" t="n"/>
      <c r="B627" s="15" t="n"/>
      <c r="C627" s="16">
        <f>IF($B627="","",IFERROR(INDEX('Intervals'!$B$4:$B$33,MATCH($B627,'Intervals'!$A$4:$A$33,0)),""))</f>
        <v/>
      </c>
      <c r="D627" s="17" t="n"/>
      <c r="E627" s="18" t="n"/>
      <c r="F627" s="19">
        <f>IF(OR($B627="",$E627=""),"",IFERROR(IF(AND(INDEX('Intervals'!$G$4:$G$33,MATCH($B627,'Intervals'!$A$4:$A$33,0))&lt;&gt;"No",N(INDEX('Intervals'!$C$4:$C$33,MATCH($B627,'Intervals'!$A$4:$A$33,0)))&gt;0),$E627+N(INDEX('Intervals'!$C$4:$C$33,MATCH($B627,'Intervals'!$A$4:$A$33,0))),""),""))</f>
        <v/>
      </c>
      <c r="G627" s="20">
        <f>IF(OR($B627="",$D627=""),"",IFERROR(IF(AND(INDEX('Intervals'!$G$4:$G$33,MATCH($B627,'Intervals'!$A$4:$A$33,0))&lt;&gt;"No",N(INDEX('Intervals'!$D$4:$D$33,MATCH($B627,'Intervals'!$A$4:$A$33,0)))&gt;0),EDATE($D627,N(INDEX('Intervals'!$D$4:$D$33,MATCH($B627,'Intervals'!$A$4:$A$33,0)))),""),""))</f>
        <v/>
      </c>
      <c r="H627" s="19">
        <f>IF($A627="","",IFERROR(IF(N(INDEX('Cars'!$H$4:$H$103,MATCH($A627,'Cars'!$A$4:$A$103,0)))&gt;0,INDEX('Cars'!$H$4:$H$103,MATCH($A627,'Cars'!$A$4:$A$103,0)),""),""))</f>
        <v/>
      </c>
      <c r="I627" s="19">
        <f>IF(OR($F627="",$H627=""),"",$F627-$H627)</f>
        <v/>
      </c>
      <c r="J627" s="21">
        <f>IF($G627="","",$G627-TODAY())</f>
        <v/>
      </c>
      <c r="K627" s="21">
        <f>IF($I627="","",IFERROR(IF(N(INDEX('Cars'!$J$4:$J$103,MATCH($A627,'Cars'!$A$4:$A$103,0)))&gt;0,ROUND($I627/INDEX('Cars'!$J$4:$J$103,MATCH($A627,'Cars'!$A$4:$A$103,0))*30,0),""),""))</f>
        <v/>
      </c>
      <c r="L627" s="21">
        <f>IF(AND($J627="",$K627=""),"",MIN(IF($J627="",99999,$J627),IF($K627="",99999,$K627)))</f>
        <v/>
      </c>
      <c r="M627" s="16">
        <f>IF(AND($I627="",$J627=""),"",IF(OR(AND($I627&lt;&gt;"",N($I627)&lt;0),AND($J627&lt;&gt;"",N($J627)&lt;0)),"Overdue",IF(OR(AND($I627&lt;&gt;"",N($I627)&lt;=IFERROR(INDEX('Intervals'!$E$4:$E$33,MATCH($B627,'Intervals'!$A$4:$A$33,0)),500)),AND($J627&lt;&gt;"",N($J627)&lt;=IFERROR(INDEX('Intervals'!$F$4:$F$33,MATCH($B627,'Intervals'!$A$4:$A$33,0)),14))),"Due soon","OK")))</f>
        <v/>
      </c>
      <c r="N627" s="15" t="n"/>
      <c r="O627" s="22">
        <f>IF(OR($M627="",$M627="OK"),"",$L627+ROW()/100000)</f>
        <v/>
      </c>
    </row>
    <row r="628">
      <c r="A628" s="15" t="n"/>
      <c r="B628" s="15" t="n"/>
      <c r="C628" s="16">
        <f>IF($B628="","",IFERROR(INDEX('Intervals'!$B$4:$B$33,MATCH($B628,'Intervals'!$A$4:$A$33,0)),""))</f>
        <v/>
      </c>
      <c r="D628" s="17" t="n"/>
      <c r="E628" s="18" t="n"/>
      <c r="F628" s="19">
        <f>IF(OR($B628="",$E628=""),"",IFERROR(IF(AND(INDEX('Intervals'!$G$4:$G$33,MATCH($B628,'Intervals'!$A$4:$A$33,0))&lt;&gt;"No",N(INDEX('Intervals'!$C$4:$C$33,MATCH($B628,'Intervals'!$A$4:$A$33,0)))&gt;0),$E628+N(INDEX('Intervals'!$C$4:$C$33,MATCH($B628,'Intervals'!$A$4:$A$33,0))),""),""))</f>
        <v/>
      </c>
      <c r="G628" s="20">
        <f>IF(OR($B628="",$D628=""),"",IFERROR(IF(AND(INDEX('Intervals'!$G$4:$G$33,MATCH($B628,'Intervals'!$A$4:$A$33,0))&lt;&gt;"No",N(INDEX('Intervals'!$D$4:$D$33,MATCH($B628,'Intervals'!$A$4:$A$33,0)))&gt;0),EDATE($D628,N(INDEX('Intervals'!$D$4:$D$33,MATCH($B628,'Intervals'!$A$4:$A$33,0)))),""),""))</f>
        <v/>
      </c>
      <c r="H628" s="19">
        <f>IF($A628="","",IFERROR(IF(N(INDEX('Cars'!$H$4:$H$103,MATCH($A628,'Cars'!$A$4:$A$103,0)))&gt;0,INDEX('Cars'!$H$4:$H$103,MATCH($A628,'Cars'!$A$4:$A$103,0)),""),""))</f>
        <v/>
      </c>
      <c r="I628" s="19">
        <f>IF(OR($F628="",$H628=""),"",$F628-$H628)</f>
        <v/>
      </c>
      <c r="J628" s="21">
        <f>IF($G628="","",$G628-TODAY())</f>
        <v/>
      </c>
      <c r="K628" s="21">
        <f>IF($I628="","",IFERROR(IF(N(INDEX('Cars'!$J$4:$J$103,MATCH($A628,'Cars'!$A$4:$A$103,0)))&gt;0,ROUND($I628/INDEX('Cars'!$J$4:$J$103,MATCH($A628,'Cars'!$A$4:$A$103,0))*30,0),""),""))</f>
        <v/>
      </c>
      <c r="L628" s="21">
        <f>IF(AND($J628="",$K628=""),"",MIN(IF($J628="",99999,$J628),IF($K628="",99999,$K628)))</f>
        <v/>
      </c>
      <c r="M628" s="16">
        <f>IF(AND($I628="",$J628=""),"",IF(OR(AND($I628&lt;&gt;"",N($I628)&lt;0),AND($J628&lt;&gt;"",N($J628)&lt;0)),"Overdue",IF(OR(AND($I628&lt;&gt;"",N($I628)&lt;=IFERROR(INDEX('Intervals'!$E$4:$E$33,MATCH($B628,'Intervals'!$A$4:$A$33,0)),500)),AND($J628&lt;&gt;"",N($J628)&lt;=IFERROR(INDEX('Intervals'!$F$4:$F$33,MATCH($B628,'Intervals'!$A$4:$A$33,0)),14))),"Due soon","OK")))</f>
        <v/>
      </c>
      <c r="N628" s="15" t="n"/>
      <c r="O628" s="22">
        <f>IF(OR($M628="",$M628="OK"),"",$L628+ROW()/100000)</f>
        <v/>
      </c>
    </row>
    <row r="629">
      <c r="A629" s="15" t="n"/>
      <c r="B629" s="15" t="n"/>
      <c r="C629" s="16">
        <f>IF($B629="","",IFERROR(INDEX('Intervals'!$B$4:$B$33,MATCH($B629,'Intervals'!$A$4:$A$33,0)),""))</f>
        <v/>
      </c>
      <c r="D629" s="17" t="n"/>
      <c r="E629" s="18" t="n"/>
      <c r="F629" s="19">
        <f>IF(OR($B629="",$E629=""),"",IFERROR(IF(AND(INDEX('Intervals'!$G$4:$G$33,MATCH($B629,'Intervals'!$A$4:$A$33,0))&lt;&gt;"No",N(INDEX('Intervals'!$C$4:$C$33,MATCH($B629,'Intervals'!$A$4:$A$33,0)))&gt;0),$E629+N(INDEX('Intervals'!$C$4:$C$33,MATCH($B629,'Intervals'!$A$4:$A$33,0))),""),""))</f>
        <v/>
      </c>
      <c r="G629" s="20">
        <f>IF(OR($B629="",$D629=""),"",IFERROR(IF(AND(INDEX('Intervals'!$G$4:$G$33,MATCH($B629,'Intervals'!$A$4:$A$33,0))&lt;&gt;"No",N(INDEX('Intervals'!$D$4:$D$33,MATCH($B629,'Intervals'!$A$4:$A$33,0)))&gt;0),EDATE($D629,N(INDEX('Intervals'!$D$4:$D$33,MATCH($B629,'Intervals'!$A$4:$A$33,0)))),""),""))</f>
        <v/>
      </c>
      <c r="H629" s="19">
        <f>IF($A629="","",IFERROR(IF(N(INDEX('Cars'!$H$4:$H$103,MATCH($A629,'Cars'!$A$4:$A$103,0)))&gt;0,INDEX('Cars'!$H$4:$H$103,MATCH($A629,'Cars'!$A$4:$A$103,0)),""),""))</f>
        <v/>
      </c>
      <c r="I629" s="19">
        <f>IF(OR($F629="",$H629=""),"",$F629-$H629)</f>
        <v/>
      </c>
      <c r="J629" s="21">
        <f>IF($G629="","",$G629-TODAY())</f>
        <v/>
      </c>
      <c r="K629" s="21">
        <f>IF($I629="","",IFERROR(IF(N(INDEX('Cars'!$J$4:$J$103,MATCH($A629,'Cars'!$A$4:$A$103,0)))&gt;0,ROUND($I629/INDEX('Cars'!$J$4:$J$103,MATCH($A629,'Cars'!$A$4:$A$103,0))*30,0),""),""))</f>
        <v/>
      </c>
      <c r="L629" s="21">
        <f>IF(AND($J629="",$K629=""),"",MIN(IF($J629="",99999,$J629),IF($K629="",99999,$K629)))</f>
        <v/>
      </c>
      <c r="M629" s="16">
        <f>IF(AND($I629="",$J629=""),"",IF(OR(AND($I629&lt;&gt;"",N($I629)&lt;0),AND($J629&lt;&gt;"",N($J629)&lt;0)),"Overdue",IF(OR(AND($I629&lt;&gt;"",N($I629)&lt;=IFERROR(INDEX('Intervals'!$E$4:$E$33,MATCH($B629,'Intervals'!$A$4:$A$33,0)),500)),AND($J629&lt;&gt;"",N($J629)&lt;=IFERROR(INDEX('Intervals'!$F$4:$F$33,MATCH($B629,'Intervals'!$A$4:$A$33,0)),14))),"Due soon","OK")))</f>
        <v/>
      </c>
      <c r="N629" s="15" t="n"/>
      <c r="O629" s="22">
        <f>IF(OR($M629="",$M629="OK"),"",$L629+ROW()/100000)</f>
        <v/>
      </c>
    </row>
    <row r="630">
      <c r="A630" s="15" t="n"/>
      <c r="B630" s="15" t="n"/>
      <c r="C630" s="16">
        <f>IF($B630="","",IFERROR(INDEX('Intervals'!$B$4:$B$33,MATCH($B630,'Intervals'!$A$4:$A$33,0)),""))</f>
        <v/>
      </c>
      <c r="D630" s="17" t="n"/>
      <c r="E630" s="18" t="n"/>
      <c r="F630" s="19">
        <f>IF(OR($B630="",$E630=""),"",IFERROR(IF(AND(INDEX('Intervals'!$G$4:$G$33,MATCH($B630,'Intervals'!$A$4:$A$33,0))&lt;&gt;"No",N(INDEX('Intervals'!$C$4:$C$33,MATCH($B630,'Intervals'!$A$4:$A$33,0)))&gt;0),$E630+N(INDEX('Intervals'!$C$4:$C$33,MATCH($B630,'Intervals'!$A$4:$A$33,0))),""),""))</f>
        <v/>
      </c>
      <c r="G630" s="20">
        <f>IF(OR($B630="",$D630=""),"",IFERROR(IF(AND(INDEX('Intervals'!$G$4:$G$33,MATCH($B630,'Intervals'!$A$4:$A$33,0))&lt;&gt;"No",N(INDEX('Intervals'!$D$4:$D$33,MATCH($B630,'Intervals'!$A$4:$A$33,0)))&gt;0),EDATE($D630,N(INDEX('Intervals'!$D$4:$D$33,MATCH($B630,'Intervals'!$A$4:$A$33,0)))),""),""))</f>
        <v/>
      </c>
      <c r="H630" s="19">
        <f>IF($A630="","",IFERROR(IF(N(INDEX('Cars'!$H$4:$H$103,MATCH($A630,'Cars'!$A$4:$A$103,0)))&gt;0,INDEX('Cars'!$H$4:$H$103,MATCH($A630,'Cars'!$A$4:$A$103,0)),""),""))</f>
        <v/>
      </c>
      <c r="I630" s="19">
        <f>IF(OR($F630="",$H630=""),"",$F630-$H630)</f>
        <v/>
      </c>
      <c r="J630" s="21">
        <f>IF($G630="","",$G630-TODAY())</f>
        <v/>
      </c>
      <c r="K630" s="21">
        <f>IF($I630="","",IFERROR(IF(N(INDEX('Cars'!$J$4:$J$103,MATCH($A630,'Cars'!$A$4:$A$103,0)))&gt;0,ROUND($I630/INDEX('Cars'!$J$4:$J$103,MATCH($A630,'Cars'!$A$4:$A$103,0))*30,0),""),""))</f>
        <v/>
      </c>
      <c r="L630" s="21">
        <f>IF(AND($J630="",$K630=""),"",MIN(IF($J630="",99999,$J630),IF($K630="",99999,$K630)))</f>
        <v/>
      </c>
      <c r="M630" s="16">
        <f>IF(AND($I630="",$J630=""),"",IF(OR(AND($I630&lt;&gt;"",N($I630)&lt;0),AND($J630&lt;&gt;"",N($J630)&lt;0)),"Overdue",IF(OR(AND($I630&lt;&gt;"",N($I630)&lt;=IFERROR(INDEX('Intervals'!$E$4:$E$33,MATCH($B630,'Intervals'!$A$4:$A$33,0)),500)),AND($J630&lt;&gt;"",N($J630)&lt;=IFERROR(INDEX('Intervals'!$F$4:$F$33,MATCH($B630,'Intervals'!$A$4:$A$33,0)),14))),"Due soon","OK")))</f>
        <v/>
      </c>
      <c r="N630" s="15" t="n"/>
      <c r="O630" s="22">
        <f>IF(OR($M630="",$M630="OK"),"",$L630+ROW()/100000)</f>
        <v/>
      </c>
    </row>
    <row r="631">
      <c r="A631" s="15" t="n"/>
      <c r="B631" s="15" t="n"/>
      <c r="C631" s="16">
        <f>IF($B631="","",IFERROR(INDEX('Intervals'!$B$4:$B$33,MATCH($B631,'Intervals'!$A$4:$A$33,0)),""))</f>
        <v/>
      </c>
      <c r="D631" s="17" t="n"/>
      <c r="E631" s="18" t="n"/>
      <c r="F631" s="19">
        <f>IF(OR($B631="",$E631=""),"",IFERROR(IF(AND(INDEX('Intervals'!$G$4:$G$33,MATCH($B631,'Intervals'!$A$4:$A$33,0))&lt;&gt;"No",N(INDEX('Intervals'!$C$4:$C$33,MATCH($B631,'Intervals'!$A$4:$A$33,0)))&gt;0),$E631+N(INDEX('Intervals'!$C$4:$C$33,MATCH($B631,'Intervals'!$A$4:$A$33,0))),""),""))</f>
        <v/>
      </c>
      <c r="G631" s="20">
        <f>IF(OR($B631="",$D631=""),"",IFERROR(IF(AND(INDEX('Intervals'!$G$4:$G$33,MATCH($B631,'Intervals'!$A$4:$A$33,0))&lt;&gt;"No",N(INDEX('Intervals'!$D$4:$D$33,MATCH($B631,'Intervals'!$A$4:$A$33,0)))&gt;0),EDATE($D631,N(INDEX('Intervals'!$D$4:$D$33,MATCH($B631,'Intervals'!$A$4:$A$33,0)))),""),""))</f>
        <v/>
      </c>
      <c r="H631" s="19">
        <f>IF($A631="","",IFERROR(IF(N(INDEX('Cars'!$H$4:$H$103,MATCH($A631,'Cars'!$A$4:$A$103,0)))&gt;0,INDEX('Cars'!$H$4:$H$103,MATCH($A631,'Cars'!$A$4:$A$103,0)),""),""))</f>
        <v/>
      </c>
      <c r="I631" s="19">
        <f>IF(OR($F631="",$H631=""),"",$F631-$H631)</f>
        <v/>
      </c>
      <c r="J631" s="21">
        <f>IF($G631="","",$G631-TODAY())</f>
        <v/>
      </c>
      <c r="K631" s="21">
        <f>IF($I631="","",IFERROR(IF(N(INDEX('Cars'!$J$4:$J$103,MATCH($A631,'Cars'!$A$4:$A$103,0)))&gt;0,ROUND($I631/INDEX('Cars'!$J$4:$J$103,MATCH($A631,'Cars'!$A$4:$A$103,0))*30,0),""),""))</f>
        <v/>
      </c>
      <c r="L631" s="21">
        <f>IF(AND($J631="",$K631=""),"",MIN(IF($J631="",99999,$J631),IF($K631="",99999,$K631)))</f>
        <v/>
      </c>
      <c r="M631" s="16">
        <f>IF(AND($I631="",$J631=""),"",IF(OR(AND($I631&lt;&gt;"",N($I631)&lt;0),AND($J631&lt;&gt;"",N($J631)&lt;0)),"Overdue",IF(OR(AND($I631&lt;&gt;"",N($I631)&lt;=IFERROR(INDEX('Intervals'!$E$4:$E$33,MATCH($B631,'Intervals'!$A$4:$A$33,0)),500)),AND($J631&lt;&gt;"",N($J631)&lt;=IFERROR(INDEX('Intervals'!$F$4:$F$33,MATCH($B631,'Intervals'!$A$4:$A$33,0)),14))),"Due soon","OK")))</f>
        <v/>
      </c>
      <c r="N631" s="15" t="n"/>
      <c r="O631" s="22">
        <f>IF(OR($M631="",$M631="OK"),"",$L631+ROW()/100000)</f>
        <v/>
      </c>
    </row>
    <row r="632">
      <c r="A632" s="15" t="n"/>
      <c r="B632" s="15" t="n"/>
      <c r="C632" s="16">
        <f>IF($B632="","",IFERROR(INDEX('Intervals'!$B$4:$B$33,MATCH($B632,'Intervals'!$A$4:$A$33,0)),""))</f>
        <v/>
      </c>
      <c r="D632" s="17" t="n"/>
      <c r="E632" s="18" t="n"/>
      <c r="F632" s="19">
        <f>IF(OR($B632="",$E632=""),"",IFERROR(IF(AND(INDEX('Intervals'!$G$4:$G$33,MATCH($B632,'Intervals'!$A$4:$A$33,0))&lt;&gt;"No",N(INDEX('Intervals'!$C$4:$C$33,MATCH($B632,'Intervals'!$A$4:$A$33,0)))&gt;0),$E632+N(INDEX('Intervals'!$C$4:$C$33,MATCH($B632,'Intervals'!$A$4:$A$33,0))),""),""))</f>
        <v/>
      </c>
      <c r="G632" s="20">
        <f>IF(OR($B632="",$D632=""),"",IFERROR(IF(AND(INDEX('Intervals'!$G$4:$G$33,MATCH($B632,'Intervals'!$A$4:$A$33,0))&lt;&gt;"No",N(INDEX('Intervals'!$D$4:$D$33,MATCH($B632,'Intervals'!$A$4:$A$33,0)))&gt;0),EDATE($D632,N(INDEX('Intervals'!$D$4:$D$33,MATCH($B632,'Intervals'!$A$4:$A$33,0)))),""),""))</f>
        <v/>
      </c>
      <c r="H632" s="19">
        <f>IF($A632="","",IFERROR(IF(N(INDEX('Cars'!$H$4:$H$103,MATCH($A632,'Cars'!$A$4:$A$103,0)))&gt;0,INDEX('Cars'!$H$4:$H$103,MATCH($A632,'Cars'!$A$4:$A$103,0)),""),""))</f>
        <v/>
      </c>
      <c r="I632" s="19">
        <f>IF(OR($F632="",$H632=""),"",$F632-$H632)</f>
        <v/>
      </c>
      <c r="J632" s="21">
        <f>IF($G632="","",$G632-TODAY())</f>
        <v/>
      </c>
      <c r="K632" s="21">
        <f>IF($I632="","",IFERROR(IF(N(INDEX('Cars'!$J$4:$J$103,MATCH($A632,'Cars'!$A$4:$A$103,0)))&gt;0,ROUND($I632/INDEX('Cars'!$J$4:$J$103,MATCH($A632,'Cars'!$A$4:$A$103,0))*30,0),""),""))</f>
        <v/>
      </c>
      <c r="L632" s="21">
        <f>IF(AND($J632="",$K632=""),"",MIN(IF($J632="",99999,$J632),IF($K632="",99999,$K632)))</f>
        <v/>
      </c>
      <c r="M632" s="16">
        <f>IF(AND($I632="",$J632=""),"",IF(OR(AND($I632&lt;&gt;"",N($I632)&lt;0),AND($J632&lt;&gt;"",N($J632)&lt;0)),"Overdue",IF(OR(AND($I632&lt;&gt;"",N($I632)&lt;=IFERROR(INDEX('Intervals'!$E$4:$E$33,MATCH($B632,'Intervals'!$A$4:$A$33,0)),500)),AND($J632&lt;&gt;"",N($J632)&lt;=IFERROR(INDEX('Intervals'!$F$4:$F$33,MATCH($B632,'Intervals'!$A$4:$A$33,0)),14))),"Due soon","OK")))</f>
        <v/>
      </c>
      <c r="N632" s="15" t="n"/>
      <c r="O632" s="22">
        <f>IF(OR($M632="",$M632="OK"),"",$L632+ROW()/100000)</f>
        <v/>
      </c>
    </row>
    <row r="633">
      <c r="A633" s="15" t="n"/>
      <c r="B633" s="15" t="n"/>
      <c r="C633" s="16">
        <f>IF($B633="","",IFERROR(INDEX('Intervals'!$B$4:$B$33,MATCH($B633,'Intervals'!$A$4:$A$33,0)),""))</f>
        <v/>
      </c>
      <c r="D633" s="17" t="n"/>
      <c r="E633" s="18" t="n"/>
      <c r="F633" s="19">
        <f>IF(OR($B633="",$E633=""),"",IFERROR(IF(AND(INDEX('Intervals'!$G$4:$G$33,MATCH($B633,'Intervals'!$A$4:$A$33,0))&lt;&gt;"No",N(INDEX('Intervals'!$C$4:$C$33,MATCH($B633,'Intervals'!$A$4:$A$33,0)))&gt;0),$E633+N(INDEX('Intervals'!$C$4:$C$33,MATCH($B633,'Intervals'!$A$4:$A$33,0))),""),""))</f>
        <v/>
      </c>
      <c r="G633" s="20">
        <f>IF(OR($B633="",$D633=""),"",IFERROR(IF(AND(INDEX('Intervals'!$G$4:$G$33,MATCH($B633,'Intervals'!$A$4:$A$33,0))&lt;&gt;"No",N(INDEX('Intervals'!$D$4:$D$33,MATCH($B633,'Intervals'!$A$4:$A$33,0)))&gt;0),EDATE($D633,N(INDEX('Intervals'!$D$4:$D$33,MATCH($B633,'Intervals'!$A$4:$A$33,0)))),""),""))</f>
        <v/>
      </c>
      <c r="H633" s="19">
        <f>IF($A633="","",IFERROR(IF(N(INDEX('Cars'!$H$4:$H$103,MATCH($A633,'Cars'!$A$4:$A$103,0)))&gt;0,INDEX('Cars'!$H$4:$H$103,MATCH($A633,'Cars'!$A$4:$A$103,0)),""),""))</f>
        <v/>
      </c>
      <c r="I633" s="19">
        <f>IF(OR($F633="",$H633=""),"",$F633-$H633)</f>
        <v/>
      </c>
      <c r="J633" s="21">
        <f>IF($G633="","",$G633-TODAY())</f>
        <v/>
      </c>
      <c r="K633" s="21">
        <f>IF($I633="","",IFERROR(IF(N(INDEX('Cars'!$J$4:$J$103,MATCH($A633,'Cars'!$A$4:$A$103,0)))&gt;0,ROUND($I633/INDEX('Cars'!$J$4:$J$103,MATCH($A633,'Cars'!$A$4:$A$103,0))*30,0),""),""))</f>
        <v/>
      </c>
      <c r="L633" s="21">
        <f>IF(AND($J633="",$K633=""),"",MIN(IF($J633="",99999,$J633),IF($K633="",99999,$K633)))</f>
        <v/>
      </c>
      <c r="M633" s="16">
        <f>IF(AND($I633="",$J633=""),"",IF(OR(AND($I633&lt;&gt;"",N($I633)&lt;0),AND($J633&lt;&gt;"",N($J633)&lt;0)),"Overdue",IF(OR(AND($I633&lt;&gt;"",N($I633)&lt;=IFERROR(INDEX('Intervals'!$E$4:$E$33,MATCH($B633,'Intervals'!$A$4:$A$33,0)),500)),AND($J633&lt;&gt;"",N($J633)&lt;=IFERROR(INDEX('Intervals'!$F$4:$F$33,MATCH($B633,'Intervals'!$A$4:$A$33,0)),14))),"Due soon","OK")))</f>
        <v/>
      </c>
      <c r="N633" s="15" t="n"/>
      <c r="O633" s="22">
        <f>IF(OR($M633="",$M633="OK"),"",$L633+ROW()/100000)</f>
        <v/>
      </c>
    </row>
    <row r="634">
      <c r="A634" s="15" t="n"/>
      <c r="B634" s="15" t="n"/>
      <c r="C634" s="16">
        <f>IF($B634="","",IFERROR(INDEX('Intervals'!$B$4:$B$33,MATCH($B634,'Intervals'!$A$4:$A$33,0)),""))</f>
        <v/>
      </c>
      <c r="D634" s="17" t="n"/>
      <c r="E634" s="18" t="n"/>
      <c r="F634" s="19">
        <f>IF(OR($B634="",$E634=""),"",IFERROR(IF(AND(INDEX('Intervals'!$G$4:$G$33,MATCH($B634,'Intervals'!$A$4:$A$33,0))&lt;&gt;"No",N(INDEX('Intervals'!$C$4:$C$33,MATCH($B634,'Intervals'!$A$4:$A$33,0)))&gt;0),$E634+N(INDEX('Intervals'!$C$4:$C$33,MATCH($B634,'Intervals'!$A$4:$A$33,0))),""),""))</f>
        <v/>
      </c>
      <c r="G634" s="20">
        <f>IF(OR($B634="",$D634=""),"",IFERROR(IF(AND(INDEX('Intervals'!$G$4:$G$33,MATCH($B634,'Intervals'!$A$4:$A$33,0))&lt;&gt;"No",N(INDEX('Intervals'!$D$4:$D$33,MATCH($B634,'Intervals'!$A$4:$A$33,0)))&gt;0),EDATE($D634,N(INDEX('Intervals'!$D$4:$D$33,MATCH($B634,'Intervals'!$A$4:$A$33,0)))),""),""))</f>
        <v/>
      </c>
      <c r="H634" s="19">
        <f>IF($A634="","",IFERROR(IF(N(INDEX('Cars'!$H$4:$H$103,MATCH($A634,'Cars'!$A$4:$A$103,0)))&gt;0,INDEX('Cars'!$H$4:$H$103,MATCH($A634,'Cars'!$A$4:$A$103,0)),""),""))</f>
        <v/>
      </c>
      <c r="I634" s="19">
        <f>IF(OR($F634="",$H634=""),"",$F634-$H634)</f>
        <v/>
      </c>
      <c r="J634" s="21">
        <f>IF($G634="","",$G634-TODAY())</f>
        <v/>
      </c>
      <c r="K634" s="21">
        <f>IF($I634="","",IFERROR(IF(N(INDEX('Cars'!$J$4:$J$103,MATCH($A634,'Cars'!$A$4:$A$103,0)))&gt;0,ROUND($I634/INDEX('Cars'!$J$4:$J$103,MATCH($A634,'Cars'!$A$4:$A$103,0))*30,0),""),""))</f>
        <v/>
      </c>
      <c r="L634" s="21">
        <f>IF(AND($J634="",$K634=""),"",MIN(IF($J634="",99999,$J634),IF($K634="",99999,$K634)))</f>
        <v/>
      </c>
      <c r="M634" s="16">
        <f>IF(AND($I634="",$J634=""),"",IF(OR(AND($I634&lt;&gt;"",N($I634)&lt;0),AND($J634&lt;&gt;"",N($J634)&lt;0)),"Overdue",IF(OR(AND($I634&lt;&gt;"",N($I634)&lt;=IFERROR(INDEX('Intervals'!$E$4:$E$33,MATCH($B634,'Intervals'!$A$4:$A$33,0)),500)),AND($J634&lt;&gt;"",N($J634)&lt;=IFERROR(INDEX('Intervals'!$F$4:$F$33,MATCH($B634,'Intervals'!$A$4:$A$33,0)),14))),"Due soon","OK")))</f>
        <v/>
      </c>
      <c r="N634" s="15" t="n"/>
      <c r="O634" s="22">
        <f>IF(OR($M634="",$M634="OK"),"",$L634+ROW()/100000)</f>
        <v/>
      </c>
    </row>
    <row r="635">
      <c r="A635" s="15" t="n"/>
      <c r="B635" s="15" t="n"/>
      <c r="C635" s="16">
        <f>IF($B635="","",IFERROR(INDEX('Intervals'!$B$4:$B$33,MATCH($B635,'Intervals'!$A$4:$A$33,0)),""))</f>
        <v/>
      </c>
      <c r="D635" s="17" t="n"/>
      <c r="E635" s="18" t="n"/>
      <c r="F635" s="19">
        <f>IF(OR($B635="",$E635=""),"",IFERROR(IF(AND(INDEX('Intervals'!$G$4:$G$33,MATCH($B635,'Intervals'!$A$4:$A$33,0))&lt;&gt;"No",N(INDEX('Intervals'!$C$4:$C$33,MATCH($B635,'Intervals'!$A$4:$A$33,0)))&gt;0),$E635+N(INDEX('Intervals'!$C$4:$C$33,MATCH($B635,'Intervals'!$A$4:$A$33,0))),""),""))</f>
        <v/>
      </c>
      <c r="G635" s="20">
        <f>IF(OR($B635="",$D635=""),"",IFERROR(IF(AND(INDEX('Intervals'!$G$4:$G$33,MATCH($B635,'Intervals'!$A$4:$A$33,0))&lt;&gt;"No",N(INDEX('Intervals'!$D$4:$D$33,MATCH($B635,'Intervals'!$A$4:$A$33,0)))&gt;0),EDATE($D635,N(INDEX('Intervals'!$D$4:$D$33,MATCH($B635,'Intervals'!$A$4:$A$33,0)))),""),""))</f>
        <v/>
      </c>
      <c r="H635" s="19">
        <f>IF($A635="","",IFERROR(IF(N(INDEX('Cars'!$H$4:$H$103,MATCH($A635,'Cars'!$A$4:$A$103,0)))&gt;0,INDEX('Cars'!$H$4:$H$103,MATCH($A635,'Cars'!$A$4:$A$103,0)),""),""))</f>
        <v/>
      </c>
      <c r="I635" s="19">
        <f>IF(OR($F635="",$H635=""),"",$F635-$H635)</f>
        <v/>
      </c>
      <c r="J635" s="21">
        <f>IF($G635="","",$G635-TODAY())</f>
        <v/>
      </c>
      <c r="K635" s="21">
        <f>IF($I635="","",IFERROR(IF(N(INDEX('Cars'!$J$4:$J$103,MATCH($A635,'Cars'!$A$4:$A$103,0)))&gt;0,ROUND($I635/INDEX('Cars'!$J$4:$J$103,MATCH($A635,'Cars'!$A$4:$A$103,0))*30,0),""),""))</f>
        <v/>
      </c>
      <c r="L635" s="21">
        <f>IF(AND($J635="",$K635=""),"",MIN(IF($J635="",99999,$J635),IF($K635="",99999,$K635)))</f>
        <v/>
      </c>
      <c r="M635" s="16">
        <f>IF(AND($I635="",$J635=""),"",IF(OR(AND($I635&lt;&gt;"",N($I635)&lt;0),AND($J635&lt;&gt;"",N($J635)&lt;0)),"Overdue",IF(OR(AND($I635&lt;&gt;"",N($I635)&lt;=IFERROR(INDEX('Intervals'!$E$4:$E$33,MATCH($B635,'Intervals'!$A$4:$A$33,0)),500)),AND($J635&lt;&gt;"",N($J635)&lt;=IFERROR(INDEX('Intervals'!$F$4:$F$33,MATCH($B635,'Intervals'!$A$4:$A$33,0)),14))),"Due soon","OK")))</f>
        <v/>
      </c>
      <c r="N635" s="15" t="n"/>
      <c r="O635" s="22">
        <f>IF(OR($M635="",$M635="OK"),"",$L635+ROW()/100000)</f>
        <v/>
      </c>
    </row>
    <row r="636">
      <c r="A636" s="15" t="n"/>
      <c r="B636" s="15" t="n"/>
      <c r="C636" s="16">
        <f>IF($B636="","",IFERROR(INDEX('Intervals'!$B$4:$B$33,MATCH($B636,'Intervals'!$A$4:$A$33,0)),""))</f>
        <v/>
      </c>
      <c r="D636" s="17" t="n"/>
      <c r="E636" s="18" t="n"/>
      <c r="F636" s="19">
        <f>IF(OR($B636="",$E636=""),"",IFERROR(IF(AND(INDEX('Intervals'!$G$4:$G$33,MATCH($B636,'Intervals'!$A$4:$A$33,0))&lt;&gt;"No",N(INDEX('Intervals'!$C$4:$C$33,MATCH($B636,'Intervals'!$A$4:$A$33,0)))&gt;0),$E636+N(INDEX('Intervals'!$C$4:$C$33,MATCH($B636,'Intervals'!$A$4:$A$33,0))),""),""))</f>
        <v/>
      </c>
      <c r="G636" s="20">
        <f>IF(OR($B636="",$D636=""),"",IFERROR(IF(AND(INDEX('Intervals'!$G$4:$G$33,MATCH($B636,'Intervals'!$A$4:$A$33,0))&lt;&gt;"No",N(INDEX('Intervals'!$D$4:$D$33,MATCH($B636,'Intervals'!$A$4:$A$33,0)))&gt;0),EDATE($D636,N(INDEX('Intervals'!$D$4:$D$33,MATCH($B636,'Intervals'!$A$4:$A$33,0)))),""),""))</f>
        <v/>
      </c>
      <c r="H636" s="19">
        <f>IF($A636="","",IFERROR(IF(N(INDEX('Cars'!$H$4:$H$103,MATCH($A636,'Cars'!$A$4:$A$103,0)))&gt;0,INDEX('Cars'!$H$4:$H$103,MATCH($A636,'Cars'!$A$4:$A$103,0)),""),""))</f>
        <v/>
      </c>
      <c r="I636" s="19">
        <f>IF(OR($F636="",$H636=""),"",$F636-$H636)</f>
        <v/>
      </c>
      <c r="J636" s="21">
        <f>IF($G636="","",$G636-TODAY())</f>
        <v/>
      </c>
      <c r="K636" s="21">
        <f>IF($I636="","",IFERROR(IF(N(INDEX('Cars'!$J$4:$J$103,MATCH($A636,'Cars'!$A$4:$A$103,0)))&gt;0,ROUND($I636/INDEX('Cars'!$J$4:$J$103,MATCH($A636,'Cars'!$A$4:$A$103,0))*30,0),""),""))</f>
        <v/>
      </c>
      <c r="L636" s="21">
        <f>IF(AND($J636="",$K636=""),"",MIN(IF($J636="",99999,$J636),IF($K636="",99999,$K636)))</f>
        <v/>
      </c>
      <c r="M636" s="16">
        <f>IF(AND($I636="",$J636=""),"",IF(OR(AND($I636&lt;&gt;"",N($I636)&lt;0),AND($J636&lt;&gt;"",N($J636)&lt;0)),"Overdue",IF(OR(AND($I636&lt;&gt;"",N($I636)&lt;=IFERROR(INDEX('Intervals'!$E$4:$E$33,MATCH($B636,'Intervals'!$A$4:$A$33,0)),500)),AND($J636&lt;&gt;"",N($J636)&lt;=IFERROR(INDEX('Intervals'!$F$4:$F$33,MATCH($B636,'Intervals'!$A$4:$A$33,0)),14))),"Due soon","OK")))</f>
        <v/>
      </c>
      <c r="N636" s="15" t="n"/>
      <c r="O636" s="22">
        <f>IF(OR($M636="",$M636="OK"),"",$L636+ROW()/100000)</f>
        <v/>
      </c>
    </row>
    <row r="637">
      <c r="A637" s="15" t="n"/>
      <c r="B637" s="15" t="n"/>
      <c r="C637" s="16">
        <f>IF($B637="","",IFERROR(INDEX('Intervals'!$B$4:$B$33,MATCH($B637,'Intervals'!$A$4:$A$33,0)),""))</f>
        <v/>
      </c>
      <c r="D637" s="17" t="n"/>
      <c r="E637" s="18" t="n"/>
      <c r="F637" s="19">
        <f>IF(OR($B637="",$E637=""),"",IFERROR(IF(AND(INDEX('Intervals'!$G$4:$G$33,MATCH($B637,'Intervals'!$A$4:$A$33,0))&lt;&gt;"No",N(INDEX('Intervals'!$C$4:$C$33,MATCH($B637,'Intervals'!$A$4:$A$33,0)))&gt;0),$E637+N(INDEX('Intervals'!$C$4:$C$33,MATCH($B637,'Intervals'!$A$4:$A$33,0))),""),""))</f>
        <v/>
      </c>
      <c r="G637" s="20">
        <f>IF(OR($B637="",$D637=""),"",IFERROR(IF(AND(INDEX('Intervals'!$G$4:$G$33,MATCH($B637,'Intervals'!$A$4:$A$33,0))&lt;&gt;"No",N(INDEX('Intervals'!$D$4:$D$33,MATCH($B637,'Intervals'!$A$4:$A$33,0)))&gt;0),EDATE($D637,N(INDEX('Intervals'!$D$4:$D$33,MATCH($B637,'Intervals'!$A$4:$A$33,0)))),""),""))</f>
        <v/>
      </c>
      <c r="H637" s="19">
        <f>IF($A637="","",IFERROR(IF(N(INDEX('Cars'!$H$4:$H$103,MATCH($A637,'Cars'!$A$4:$A$103,0)))&gt;0,INDEX('Cars'!$H$4:$H$103,MATCH($A637,'Cars'!$A$4:$A$103,0)),""),""))</f>
        <v/>
      </c>
      <c r="I637" s="19">
        <f>IF(OR($F637="",$H637=""),"",$F637-$H637)</f>
        <v/>
      </c>
      <c r="J637" s="21">
        <f>IF($G637="","",$G637-TODAY())</f>
        <v/>
      </c>
      <c r="K637" s="21">
        <f>IF($I637="","",IFERROR(IF(N(INDEX('Cars'!$J$4:$J$103,MATCH($A637,'Cars'!$A$4:$A$103,0)))&gt;0,ROUND($I637/INDEX('Cars'!$J$4:$J$103,MATCH($A637,'Cars'!$A$4:$A$103,0))*30,0),""),""))</f>
        <v/>
      </c>
      <c r="L637" s="21">
        <f>IF(AND($J637="",$K637=""),"",MIN(IF($J637="",99999,$J637),IF($K637="",99999,$K637)))</f>
        <v/>
      </c>
      <c r="M637" s="16">
        <f>IF(AND($I637="",$J637=""),"",IF(OR(AND($I637&lt;&gt;"",N($I637)&lt;0),AND($J637&lt;&gt;"",N($J637)&lt;0)),"Overdue",IF(OR(AND($I637&lt;&gt;"",N($I637)&lt;=IFERROR(INDEX('Intervals'!$E$4:$E$33,MATCH($B637,'Intervals'!$A$4:$A$33,0)),500)),AND($J637&lt;&gt;"",N($J637)&lt;=IFERROR(INDEX('Intervals'!$F$4:$F$33,MATCH($B637,'Intervals'!$A$4:$A$33,0)),14))),"Due soon","OK")))</f>
        <v/>
      </c>
      <c r="N637" s="15" t="n"/>
      <c r="O637" s="22">
        <f>IF(OR($M637="",$M637="OK"),"",$L637+ROW()/100000)</f>
        <v/>
      </c>
    </row>
    <row r="638">
      <c r="A638" s="15" t="n"/>
      <c r="B638" s="15" t="n"/>
      <c r="C638" s="16">
        <f>IF($B638="","",IFERROR(INDEX('Intervals'!$B$4:$B$33,MATCH($B638,'Intervals'!$A$4:$A$33,0)),""))</f>
        <v/>
      </c>
      <c r="D638" s="17" t="n"/>
      <c r="E638" s="18" t="n"/>
      <c r="F638" s="19">
        <f>IF(OR($B638="",$E638=""),"",IFERROR(IF(AND(INDEX('Intervals'!$G$4:$G$33,MATCH($B638,'Intervals'!$A$4:$A$33,0))&lt;&gt;"No",N(INDEX('Intervals'!$C$4:$C$33,MATCH($B638,'Intervals'!$A$4:$A$33,0)))&gt;0),$E638+N(INDEX('Intervals'!$C$4:$C$33,MATCH($B638,'Intervals'!$A$4:$A$33,0))),""),""))</f>
        <v/>
      </c>
      <c r="G638" s="20">
        <f>IF(OR($B638="",$D638=""),"",IFERROR(IF(AND(INDEX('Intervals'!$G$4:$G$33,MATCH($B638,'Intervals'!$A$4:$A$33,0))&lt;&gt;"No",N(INDEX('Intervals'!$D$4:$D$33,MATCH($B638,'Intervals'!$A$4:$A$33,0)))&gt;0),EDATE($D638,N(INDEX('Intervals'!$D$4:$D$33,MATCH($B638,'Intervals'!$A$4:$A$33,0)))),""),""))</f>
        <v/>
      </c>
      <c r="H638" s="19">
        <f>IF($A638="","",IFERROR(IF(N(INDEX('Cars'!$H$4:$H$103,MATCH($A638,'Cars'!$A$4:$A$103,0)))&gt;0,INDEX('Cars'!$H$4:$H$103,MATCH($A638,'Cars'!$A$4:$A$103,0)),""),""))</f>
        <v/>
      </c>
      <c r="I638" s="19">
        <f>IF(OR($F638="",$H638=""),"",$F638-$H638)</f>
        <v/>
      </c>
      <c r="J638" s="21">
        <f>IF($G638="","",$G638-TODAY())</f>
        <v/>
      </c>
      <c r="K638" s="21">
        <f>IF($I638="","",IFERROR(IF(N(INDEX('Cars'!$J$4:$J$103,MATCH($A638,'Cars'!$A$4:$A$103,0)))&gt;0,ROUND($I638/INDEX('Cars'!$J$4:$J$103,MATCH($A638,'Cars'!$A$4:$A$103,0))*30,0),""),""))</f>
        <v/>
      </c>
      <c r="L638" s="21">
        <f>IF(AND($J638="",$K638=""),"",MIN(IF($J638="",99999,$J638),IF($K638="",99999,$K638)))</f>
        <v/>
      </c>
      <c r="M638" s="16">
        <f>IF(AND($I638="",$J638=""),"",IF(OR(AND($I638&lt;&gt;"",N($I638)&lt;0),AND($J638&lt;&gt;"",N($J638)&lt;0)),"Overdue",IF(OR(AND($I638&lt;&gt;"",N($I638)&lt;=IFERROR(INDEX('Intervals'!$E$4:$E$33,MATCH($B638,'Intervals'!$A$4:$A$33,0)),500)),AND($J638&lt;&gt;"",N($J638)&lt;=IFERROR(INDEX('Intervals'!$F$4:$F$33,MATCH($B638,'Intervals'!$A$4:$A$33,0)),14))),"Due soon","OK")))</f>
        <v/>
      </c>
      <c r="N638" s="15" t="n"/>
      <c r="O638" s="22">
        <f>IF(OR($M638="",$M638="OK"),"",$L638+ROW()/100000)</f>
        <v/>
      </c>
    </row>
    <row r="639">
      <c r="A639" s="15" t="n"/>
      <c r="B639" s="15" t="n"/>
      <c r="C639" s="16">
        <f>IF($B639="","",IFERROR(INDEX('Intervals'!$B$4:$B$33,MATCH($B639,'Intervals'!$A$4:$A$33,0)),""))</f>
        <v/>
      </c>
      <c r="D639" s="17" t="n"/>
      <c r="E639" s="18" t="n"/>
      <c r="F639" s="19">
        <f>IF(OR($B639="",$E639=""),"",IFERROR(IF(AND(INDEX('Intervals'!$G$4:$G$33,MATCH($B639,'Intervals'!$A$4:$A$33,0))&lt;&gt;"No",N(INDEX('Intervals'!$C$4:$C$33,MATCH($B639,'Intervals'!$A$4:$A$33,0)))&gt;0),$E639+N(INDEX('Intervals'!$C$4:$C$33,MATCH($B639,'Intervals'!$A$4:$A$33,0))),""),""))</f>
        <v/>
      </c>
      <c r="G639" s="20">
        <f>IF(OR($B639="",$D639=""),"",IFERROR(IF(AND(INDEX('Intervals'!$G$4:$G$33,MATCH($B639,'Intervals'!$A$4:$A$33,0))&lt;&gt;"No",N(INDEX('Intervals'!$D$4:$D$33,MATCH($B639,'Intervals'!$A$4:$A$33,0)))&gt;0),EDATE($D639,N(INDEX('Intervals'!$D$4:$D$33,MATCH($B639,'Intervals'!$A$4:$A$33,0)))),""),""))</f>
        <v/>
      </c>
      <c r="H639" s="19">
        <f>IF($A639="","",IFERROR(IF(N(INDEX('Cars'!$H$4:$H$103,MATCH($A639,'Cars'!$A$4:$A$103,0)))&gt;0,INDEX('Cars'!$H$4:$H$103,MATCH($A639,'Cars'!$A$4:$A$103,0)),""),""))</f>
        <v/>
      </c>
      <c r="I639" s="19">
        <f>IF(OR($F639="",$H639=""),"",$F639-$H639)</f>
        <v/>
      </c>
      <c r="J639" s="21">
        <f>IF($G639="","",$G639-TODAY())</f>
        <v/>
      </c>
      <c r="K639" s="21">
        <f>IF($I639="","",IFERROR(IF(N(INDEX('Cars'!$J$4:$J$103,MATCH($A639,'Cars'!$A$4:$A$103,0)))&gt;0,ROUND($I639/INDEX('Cars'!$J$4:$J$103,MATCH($A639,'Cars'!$A$4:$A$103,0))*30,0),""),""))</f>
        <v/>
      </c>
      <c r="L639" s="21">
        <f>IF(AND($J639="",$K639=""),"",MIN(IF($J639="",99999,$J639),IF($K639="",99999,$K639)))</f>
        <v/>
      </c>
      <c r="M639" s="16">
        <f>IF(AND($I639="",$J639=""),"",IF(OR(AND($I639&lt;&gt;"",N($I639)&lt;0),AND($J639&lt;&gt;"",N($J639)&lt;0)),"Overdue",IF(OR(AND($I639&lt;&gt;"",N($I639)&lt;=IFERROR(INDEX('Intervals'!$E$4:$E$33,MATCH($B639,'Intervals'!$A$4:$A$33,0)),500)),AND($J639&lt;&gt;"",N($J639)&lt;=IFERROR(INDEX('Intervals'!$F$4:$F$33,MATCH($B639,'Intervals'!$A$4:$A$33,0)),14))),"Due soon","OK")))</f>
        <v/>
      </c>
      <c r="N639" s="15" t="n"/>
      <c r="O639" s="22">
        <f>IF(OR($M639="",$M639="OK"),"",$L639+ROW()/100000)</f>
        <v/>
      </c>
    </row>
    <row r="640">
      <c r="A640" s="15" t="n"/>
      <c r="B640" s="15" t="n"/>
      <c r="C640" s="16">
        <f>IF($B640="","",IFERROR(INDEX('Intervals'!$B$4:$B$33,MATCH($B640,'Intervals'!$A$4:$A$33,0)),""))</f>
        <v/>
      </c>
      <c r="D640" s="17" t="n"/>
      <c r="E640" s="18" t="n"/>
      <c r="F640" s="19">
        <f>IF(OR($B640="",$E640=""),"",IFERROR(IF(AND(INDEX('Intervals'!$G$4:$G$33,MATCH($B640,'Intervals'!$A$4:$A$33,0))&lt;&gt;"No",N(INDEX('Intervals'!$C$4:$C$33,MATCH($B640,'Intervals'!$A$4:$A$33,0)))&gt;0),$E640+N(INDEX('Intervals'!$C$4:$C$33,MATCH($B640,'Intervals'!$A$4:$A$33,0))),""),""))</f>
        <v/>
      </c>
      <c r="G640" s="20">
        <f>IF(OR($B640="",$D640=""),"",IFERROR(IF(AND(INDEX('Intervals'!$G$4:$G$33,MATCH($B640,'Intervals'!$A$4:$A$33,0))&lt;&gt;"No",N(INDEX('Intervals'!$D$4:$D$33,MATCH($B640,'Intervals'!$A$4:$A$33,0)))&gt;0),EDATE($D640,N(INDEX('Intervals'!$D$4:$D$33,MATCH($B640,'Intervals'!$A$4:$A$33,0)))),""),""))</f>
        <v/>
      </c>
      <c r="H640" s="19">
        <f>IF($A640="","",IFERROR(IF(N(INDEX('Cars'!$H$4:$H$103,MATCH($A640,'Cars'!$A$4:$A$103,0)))&gt;0,INDEX('Cars'!$H$4:$H$103,MATCH($A640,'Cars'!$A$4:$A$103,0)),""),""))</f>
        <v/>
      </c>
      <c r="I640" s="19">
        <f>IF(OR($F640="",$H640=""),"",$F640-$H640)</f>
        <v/>
      </c>
      <c r="J640" s="21">
        <f>IF($G640="","",$G640-TODAY())</f>
        <v/>
      </c>
      <c r="K640" s="21">
        <f>IF($I640="","",IFERROR(IF(N(INDEX('Cars'!$J$4:$J$103,MATCH($A640,'Cars'!$A$4:$A$103,0)))&gt;0,ROUND($I640/INDEX('Cars'!$J$4:$J$103,MATCH($A640,'Cars'!$A$4:$A$103,0))*30,0),""),""))</f>
        <v/>
      </c>
      <c r="L640" s="21">
        <f>IF(AND($J640="",$K640=""),"",MIN(IF($J640="",99999,$J640),IF($K640="",99999,$K640)))</f>
        <v/>
      </c>
      <c r="M640" s="16">
        <f>IF(AND($I640="",$J640=""),"",IF(OR(AND($I640&lt;&gt;"",N($I640)&lt;0),AND($J640&lt;&gt;"",N($J640)&lt;0)),"Overdue",IF(OR(AND($I640&lt;&gt;"",N($I640)&lt;=IFERROR(INDEX('Intervals'!$E$4:$E$33,MATCH($B640,'Intervals'!$A$4:$A$33,0)),500)),AND($J640&lt;&gt;"",N($J640)&lt;=IFERROR(INDEX('Intervals'!$F$4:$F$33,MATCH($B640,'Intervals'!$A$4:$A$33,0)),14))),"Due soon","OK")))</f>
        <v/>
      </c>
      <c r="N640" s="15" t="n"/>
      <c r="O640" s="22">
        <f>IF(OR($M640="",$M640="OK"),"",$L640+ROW()/100000)</f>
        <v/>
      </c>
    </row>
    <row r="641">
      <c r="A641" s="15" t="n"/>
      <c r="B641" s="15" t="n"/>
      <c r="C641" s="16">
        <f>IF($B641="","",IFERROR(INDEX('Intervals'!$B$4:$B$33,MATCH($B641,'Intervals'!$A$4:$A$33,0)),""))</f>
        <v/>
      </c>
      <c r="D641" s="17" t="n"/>
      <c r="E641" s="18" t="n"/>
      <c r="F641" s="19">
        <f>IF(OR($B641="",$E641=""),"",IFERROR(IF(AND(INDEX('Intervals'!$G$4:$G$33,MATCH($B641,'Intervals'!$A$4:$A$33,0))&lt;&gt;"No",N(INDEX('Intervals'!$C$4:$C$33,MATCH($B641,'Intervals'!$A$4:$A$33,0)))&gt;0),$E641+N(INDEX('Intervals'!$C$4:$C$33,MATCH($B641,'Intervals'!$A$4:$A$33,0))),""),""))</f>
        <v/>
      </c>
      <c r="G641" s="20">
        <f>IF(OR($B641="",$D641=""),"",IFERROR(IF(AND(INDEX('Intervals'!$G$4:$G$33,MATCH($B641,'Intervals'!$A$4:$A$33,0))&lt;&gt;"No",N(INDEX('Intervals'!$D$4:$D$33,MATCH($B641,'Intervals'!$A$4:$A$33,0)))&gt;0),EDATE($D641,N(INDEX('Intervals'!$D$4:$D$33,MATCH($B641,'Intervals'!$A$4:$A$33,0)))),""),""))</f>
        <v/>
      </c>
      <c r="H641" s="19">
        <f>IF($A641="","",IFERROR(IF(N(INDEX('Cars'!$H$4:$H$103,MATCH($A641,'Cars'!$A$4:$A$103,0)))&gt;0,INDEX('Cars'!$H$4:$H$103,MATCH($A641,'Cars'!$A$4:$A$103,0)),""),""))</f>
        <v/>
      </c>
      <c r="I641" s="19">
        <f>IF(OR($F641="",$H641=""),"",$F641-$H641)</f>
        <v/>
      </c>
      <c r="J641" s="21">
        <f>IF($G641="","",$G641-TODAY())</f>
        <v/>
      </c>
      <c r="K641" s="21">
        <f>IF($I641="","",IFERROR(IF(N(INDEX('Cars'!$J$4:$J$103,MATCH($A641,'Cars'!$A$4:$A$103,0)))&gt;0,ROUND($I641/INDEX('Cars'!$J$4:$J$103,MATCH($A641,'Cars'!$A$4:$A$103,0))*30,0),""),""))</f>
        <v/>
      </c>
      <c r="L641" s="21">
        <f>IF(AND($J641="",$K641=""),"",MIN(IF($J641="",99999,$J641),IF($K641="",99999,$K641)))</f>
        <v/>
      </c>
      <c r="M641" s="16">
        <f>IF(AND($I641="",$J641=""),"",IF(OR(AND($I641&lt;&gt;"",N($I641)&lt;0),AND($J641&lt;&gt;"",N($J641)&lt;0)),"Overdue",IF(OR(AND($I641&lt;&gt;"",N($I641)&lt;=IFERROR(INDEX('Intervals'!$E$4:$E$33,MATCH($B641,'Intervals'!$A$4:$A$33,0)),500)),AND($J641&lt;&gt;"",N($J641)&lt;=IFERROR(INDEX('Intervals'!$F$4:$F$33,MATCH($B641,'Intervals'!$A$4:$A$33,0)),14))),"Due soon","OK")))</f>
        <v/>
      </c>
      <c r="N641" s="15" t="n"/>
      <c r="O641" s="22">
        <f>IF(OR($M641="",$M641="OK"),"",$L641+ROW()/100000)</f>
        <v/>
      </c>
    </row>
    <row r="642">
      <c r="A642" s="15" t="n"/>
      <c r="B642" s="15" t="n"/>
      <c r="C642" s="16">
        <f>IF($B642="","",IFERROR(INDEX('Intervals'!$B$4:$B$33,MATCH($B642,'Intervals'!$A$4:$A$33,0)),""))</f>
        <v/>
      </c>
      <c r="D642" s="17" t="n"/>
      <c r="E642" s="18" t="n"/>
      <c r="F642" s="19">
        <f>IF(OR($B642="",$E642=""),"",IFERROR(IF(AND(INDEX('Intervals'!$G$4:$G$33,MATCH($B642,'Intervals'!$A$4:$A$33,0))&lt;&gt;"No",N(INDEX('Intervals'!$C$4:$C$33,MATCH($B642,'Intervals'!$A$4:$A$33,0)))&gt;0),$E642+N(INDEX('Intervals'!$C$4:$C$33,MATCH($B642,'Intervals'!$A$4:$A$33,0))),""),""))</f>
        <v/>
      </c>
      <c r="G642" s="20">
        <f>IF(OR($B642="",$D642=""),"",IFERROR(IF(AND(INDEX('Intervals'!$G$4:$G$33,MATCH($B642,'Intervals'!$A$4:$A$33,0))&lt;&gt;"No",N(INDEX('Intervals'!$D$4:$D$33,MATCH($B642,'Intervals'!$A$4:$A$33,0)))&gt;0),EDATE($D642,N(INDEX('Intervals'!$D$4:$D$33,MATCH($B642,'Intervals'!$A$4:$A$33,0)))),""),""))</f>
        <v/>
      </c>
      <c r="H642" s="19">
        <f>IF($A642="","",IFERROR(IF(N(INDEX('Cars'!$H$4:$H$103,MATCH($A642,'Cars'!$A$4:$A$103,0)))&gt;0,INDEX('Cars'!$H$4:$H$103,MATCH($A642,'Cars'!$A$4:$A$103,0)),""),""))</f>
        <v/>
      </c>
      <c r="I642" s="19">
        <f>IF(OR($F642="",$H642=""),"",$F642-$H642)</f>
        <v/>
      </c>
      <c r="J642" s="21">
        <f>IF($G642="","",$G642-TODAY())</f>
        <v/>
      </c>
      <c r="K642" s="21">
        <f>IF($I642="","",IFERROR(IF(N(INDEX('Cars'!$J$4:$J$103,MATCH($A642,'Cars'!$A$4:$A$103,0)))&gt;0,ROUND($I642/INDEX('Cars'!$J$4:$J$103,MATCH($A642,'Cars'!$A$4:$A$103,0))*30,0),""),""))</f>
        <v/>
      </c>
      <c r="L642" s="21">
        <f>IF(AND($J642="",$K642=""),"",MIN(IF($J642="",99999,$J642),IF($K642="",99999,$K642)))</f>
        <v/>
      </c>
      <c r="M642" s="16">
        <f>IF(AND($I642="",$J642=""),"",IF(OR(AND($I642&lt;&gt;"",N($I642)&lt;0),AND($J642&lt;&gt;"",N($J642)&lt;0)),"Overdue",IF(OR(AND($I642&lt;&gt;"",N($I642)&lt;=IFERROR(INDEX('Intervals'!$E$4:$E$33,MATCH($B642,'Intervals'!$A$4:$A$33,0)),500)),AND($J642&lt;&gt;"",N($J642)&lt;=IFERROR(INDEX('Intervals'!$F$4:$F$33,MATCH($B642,'Intervals'!$A$4:$A$33,0)),14))),"Due soon","OK")))</f>
        <v/>
      </c>
      <c r="N642" s="15" t="n"/>
      <c r="O642" s="22">
        <f>IF(OR($M642="",$M642="OK"),"",$L642+ROW()/100000)</f>
        <v/>
      </c>
    </row>
    <row r="643">
      <c r="A643" s="15" t="n"/>
      <c r="B643" s="15" t="n"/>
      <c r="C643" s="16">
        <f>IF($B643="","",IFERROR(INDEX('Intervals'!$B$4:$B$33,MATCH($B643,'Intervals'!$A$4:$A$33,0)),""))</f>
        <v/>
      </c>
      <c r="D643" s="17" t="n"/>
      <c r="E643" s="18" t="n"/>
      <c r="F643" s="19">
        <f>IF(OR($B643="",$E643=""),"",IFERROR(IF(AND(INDEX('Intervals'!$G$4:$G$33,MATCH($B643,'Intervals'!$A$4:$A$33,0))&lt;&gt;"No",N(INDEX('Intervals'!$C$4:$C$33,MATCH($B643,'Intervals'!$A$4:$A$33,0)))&gt;0),$E643+N(INDEX('Intervals'!$C$4:$C$33,MATCH($B643,'Intervals'!$A$4:$A$33,0))),""),""))</f>
        <v/>
      </c>
      <c r="G643" s="20">
        <f>IF(OR($B643="",$D643=""),"",IFERROR(IF(AND(INDEX('Intervals'!$G$4:$G$33,MATCH($B643,'Intervals'!$A$4:$A$33,0))&lt;&gt;"No",N(INDEX('Intervals'!$D$4:$D$33,MATCH($B643,'Intervals'!$A$4:$A$33,0)))&gt;0),EDATE($D643,N(INDEX('Intervals'!$D$4:$D$33,MATCH($B643,'Intervals'!$A$4:$A$33,0)))),""),""))</f>
        <v/>
      </c>
      <c r="H643" s="19">
        <f>IF($A643="","",IFERROR(IF(N(INDEX('Cars'!$H$4:$H$103,MATCH($A643,'Cars'!$A$4:$A$103,0)))&gt;0,INDEX('Cars'!$H$4:$H$103,MATCH($A643,'Cars'!$A$4:$A$103,0)),""),""))</f>
        <v/>
      </c>
      <c r="I643" s="19">
        <f>IF(OR($F643="",$H643=""),"",$F643-$H643)</f>
        <v/>
      </c>
      <c r="J643" s="21">
        <f>IF($G643="","",$G643-TODAY())</f>
        <v/>
      </c>
      <c r="K643" s="21">
        <f>IF($I643="","",IFERROR(IF(N(INDEX('Cars'!$J$4:$J$103,MATCH($A643,'Cars'!$A$4:$A$103,0)))&gt;0,ROUND($I643/INDEX('Cars'!$J$4:$J$103,MATCH($A643,'Cars'!$A$4:$A$103,0))*30,0),""),""))</f>
        <v/>
      </c>
      <c r="L643" s="21">
        <f>IF(AND($J643="",$K643=""),"",MIN(IF($J643="",99999,$J643),IF($K643="",99999,$K643)))</f>
        <v/>
      </c>
      <c r="M643" s="16">
        <f>IF(AND($I643="",$J643=""),"",IF(OR(AND($I643&lt;&gt;"",N($I643)&lt;0),AND($J643&lt;&gt;"",N($J643)&lt;0)),"Overdue",IF(OR(AND($I643&lt;&gt;"",N($I643)&lt;=IFERROR(INDEX('Intervals'!$E$4:$E$33,MATCH($B643,'Intervals'!$A$4:$A$33,0)),500)),AND($J643&lt;&gt;"",N($J643)&lt;=IFERROR(INDEX('Intervals'!$F$4:$F$33,MATCH($B643,'Intervals'!$A$4:$A$33,0)),14))),"Due soon","OK")))</f>
        <v/>
      </c>
      <c r="N643" s="15" t="n"/>
      <c r="O643" s="22">
        <f>IF(OR($M643="",$M643="OK"),"",$L643+ROW()/100000)</f>
        <v/>
      </c>
    </row>
    <row r="644">
      <c r="A644" s="15" t="n"/>
      <c r="B644" s="15" t="n"/>
      <c r="C644" s="16">
        <f>IF($B644="","",IFERROR(INDEX('Intervals'!$B$4:$B$33,MATCH($B644,'Intervals'!$A$4:$A$33,0)),""))</f>
        <v/>
      </c>
      <c r="D644" s="17" t="n"/>
      <c r="E644" s="18" t="n"/>
      <c r="F644" s="19">
        <f>IF(OR($B644="",$E644=""),"",IFERROR(IF(AND(INDEX('Intervals'!$G$4:$G$33,MATCH($B644,'Intervals'!$A$4:$A$33,0))&lt;&gt;"No",N(INDEX('Intervals'!$C$4:$C$33,MATCH($B644,'Intervals'!$A$4:$A$33,0)))&gt;0),$E644+N(INDEX('Intervals'!$C$4:$C$33,MATCH($B644,'Intervals'!$A$4:$A$33,0))),""),""))</f>
        <v/>
      </c>
      <c r="G644" s="20">
        <f>IF(OR($B644="",$D644=""),"",IFERROR(IF(AND(INDEX('Intervals'!$G$4:$G$33,MATCH($B644,'Intervals'!$A$4:$A$33,0))&lt;&gt;"No",N(INDEX('Intervals'!$D$4:$D$33,MATCH($B644,'Intervals'!$A$4:$A$33,0)))&gt;0),EDATE($D644,N(INDEX('Intervals'!$D$4:$D$33,MATCH($B644,'Intervals'!$A$4:$A$33,0)))),""),""))</f>
        <v/>
      </c>
      <c r="H644" s="19">
        <f>IF($A644="","",IFERROR(IF(N(INDEX('Cars'!$H$4:$H$103,MATCH($A644,'Cars'!$A$4:$A$103,0)))&gt;0,INDEX('Cars'!$H$4:$H$103,MATCH($A644,'Cars'!$A$4:$A$103,0)),""),""))</f>
        <v/>
      </c>
      <c r="I644" s="19">
        <f>IF(OR($F644="",$H644=""),"",$F644-$H644)</f>
        <v/>
      </c>
      <c r="J644" s="21">
        <f>IF($G644="","",$G644-TODAY())</f>
        <v/>
      </c>
      <c r="K644" s="21">
        <f>IF($I644="","",IFERROR(IF(N(INDEX('Cars'!$J$4:$J$103,MATCH($A644,'Cars'!$A$4:$A$103,0)))&gt;0,ROUND($I644/INDEX('Cars'!$J$4:$J$103,MATCH($A644,'Cars'!$A$4:$A$103,0))*30,0),""),""))</f>
        <v/>
      </c>
      <c r="L644" s="21">
        <f>IF(AND($J644="",$K644=""),"",MIN(IF($J644="",99999,$J644),IF($K644="",99999,$K644)))</f>
        <v/>
      </c>
      <c r="M644" s="16">
        <f>IF(AND($I644="",$J644=""),"",IF(OR(AND($I644&lt;&gt;"",N($I644)&lt;0),AND($J644&lt;&gt;"",N($J644)&lt;0)),"Overdue",IF(OR(AND($I644&lt;&gt;"",N($I644)&lt;=IFERROR(INDEX('Intervals'!$E$4:$E$33,MATCH($B644,'Intervals'!$A$4:$A$33,0)),500)),AND($J644&lt;&gt;"",N($J644)&lt;=IFERROR(INDEX('Intervals'!$F$4:$F$33,MATCH($B644,'Intervals'!$A$4:$A$33,0)),14))),"Due soon","OK")))</f>
        <v/>
      </c>
      <c r="N644" s="15" t="n"/>
      <c r="O644" s="22">
        <f>IF(OR($M644="",$M644="OK"),"",$L644+ROW()/100000)</f>
        <v/>
      </c>
    </row>
    <row r="645">
      <c r="A645" s="15" t="n"/>
      <c r="B645" s="15" t="n"/>
      <c r="C645" s="16">
        <f>IF($B645="","",IFERROR(INDEX('Intervals'!$B$4:$B$33,MATCH($B645,'Intervals'!$A$4:$A$33,0)),""))</f>
        <v/>
      </c>
      <c r="D645" s="17" t="n"/>
      <c r="E645" s="18" t="n"/>
      <c r="F645" s="19">
        <f>IF(OR($B645="",$E645=""),"",IFERROR(IF(AND(INDEX('Intervals'!$G$4:$G$33,MATCH($B645,'Intervals'!$A$4:$A$33,0))&lt;&gt;"No",N(INDEX('Intervals'!$C$4:$C$33,MATCH($B645,'Intervals'!$A$4:$A$33,0)))&gt;0),$E645+N(INDEX('Intervals'!$C$4:$C$33,MATCH($B645,'Intervals'!$A$4:$A$33,0))),""),""))</f>
        <v/>
      </c>
      <c r="G645" s="20">
        <f>IF(OR($B645="",$D645=""),"",IFERROR(IF(AND(INDEX('Intervals'!$G$4:$G$33,MATCH($B645,'Intervals'!$A$4:$A$33,0))&lt;&gt;"No",N(INDEX('Intervals'!$D$4:$D$33,MATCH($B645,'Intervals'!$A$4:$A$33,0)))&gt;0),EDATE($D645,N(INDEX('Intervals'!$D$4:$D$33,MATCH($B645,'Intervals'!$A$4:$A$33,0)))),""),""))</f>
        <v/>
      </c>
      <c r="H645" s="19">
        <f>IF($A645="","",IFERROR(IF(N(INDEX('Cars'!$H$4:$H$103,MATCH($A645,'Cars'!$A$4:$A$103,0)))&gt;0,INDEX('Cars'!$H$4:$H$103,MATCH($A645,'Cars'!$A$4:$A$103,0)),""),""))</f>
        <v/>
      </c>
      <c r="I645" s="19">
        <f>IF(OR($F645="",$H645=""),"",$F645-$H645)</f>
        <v/>
      </c>
      <c r="J645" s="21">
        <f>IF($G645="","",$G645-TODAY())</f>
        <v/>
      </c>
      <c r="K645" s="21">
        <f>IF($I645="","",IFERROR(IF(N(INDEX('Cars'!$J$4:$J$103,MATCH($A645,'Cars'!$A$4:$A$103,0)))&gt;0,ROUND($I645/INDEX('Cars'!$J$4:$J$103,MATCH($A645,'Cars'!$A$4:$A$103,0))*30,0),""),""))</f>
        <v/>
      </c>
      <c r="L645" s="21">
        <f>IF(AND($J645="",$K645=""),"",MIN(IF($J645="",99999,$J645),IF($K645="",99999,$K645)))</f>
        <v/>
      </c>
      <c r="M645" s="16">
        <f>IF(AND($I645="",$J645=""),"",IF(OR(AND($I645&lt;&gt;"",N($I645)&lt;0),AND($J645&lt;&gt;"",N($J645)&lt;0)),"Overdue",IF(OR(AND($I645&lt;&gt;"",N($I645)&lt;=IFERROR(INDEX('Intervals'!$E$4:$E$33,MATCH($B645,'Intervals'!$A$4:$A$33,0)),500)),AND($J645&lt;&gt;"",N($J645)&lt;=IFERROR(INDEX('Intervals'!$F$4:$F$33,MATCH($B645,'Intervals'!$A$4:$A$33,0)),14))),"Due soon","OK")))</f>
        <v/>
      </c>
      <c r="N645" s="15" t="n"/>
      <c r="O645" s="22">
        <f>IF(OR($M645="",$M645="OK"),"",$L645+ROW()/100000)</f>
        <v/>
      </c>
    </row>
    <row r="646">
      <c r="A646" s="15" t="n"/>
      <c r="B646" s="15" t="n"/>
      <c r="C646" s="16">
        <f>IF($B646="","",IFERROR(INDEX('Intervals'!$B$4:$B$33,MATCH($B646,'Intervals'!$A$4:$A$33,0)),""))</f>
        <v/>
      </c>
      <c r="D646" s="17" t="n"/>
      <c r="E646" s="18" t="n"/>
      <c r="F646" s="19">
        <f>IF(OR($B646="",$E646=""),"",IFERROR(IF(AND(INDEX('Intervals'!$G$4:$G$33,MATCH($B646,'Intervals'!$A$4:$A$33,0))&lt;&gt;"No",N(INDEX('Intervals'!$C$4:$C$33,MATCH($B646,'Intervals'!$A$4:$A$33,0)))&gt;0),$E646+N(INDEX('Intervals'!$C$4:$C$33,MATCH($B646,'Intervals'!$A$4:$A$33,0))),""),""))</f>
        <v/>
      </c>
      <c r="G646" s="20">
        <f>IF(OR($B646="",$D646=""),"",IFERROR(IF(AND(INDEX('Intervals'!$G$4:$G$33,MATCH($B646,'Intervals'!$A$4:$A$33,0))&lt;&gt;"No",N(INDEX('Intervals'!$D$4:$D$33,MATCH($B646,'Intervals'!$A$4:$A$33,0)))&gt;0),EDATE($D646,N(INDEX('Intervals'!$D$4:$D$33,MATCH($B646,'Intervals'!$A$4:$A$33,0)))),""),""))</f>
        <v/>
      </c>
      <c r="H646" s="19">
        <f>IF($A646="","",IFERROR(IF(N(INDEX('Cars'!$H$4:$H$103,MATCH($A646,'Cars'!$A$4:$A$103,0)))&gt;0,INDEX('Cars'!$H$4:$H$103,MATCH($A646,'Cars'!$A$4:$A$103,0)),""),""))</f>
        <v/>
      </c>
      <c r="I646" s="19">
        <f>IF(OR($F646="",$H646=""),"",$F646-$H646)</f>
        <v/>
      </c>
      <c r="J646" s="21">
        <f>IF($G646="","",$G646-TODAY())</f>
        <v/>
      </c>
      <c r="K646" s="21">
        <f>IF($I646="","",IFERROR(IF(N(INDEX('Cars'!$J$4:$J$103,MATCH($A646,'Cars'!$A$4:$A$103,0)))&gt;0,ROUND($I646/INDEX('Cars'!$J$4:$J$103,MATCH($A646,'Cars'!$A$4:$A$103,0))*30,0),""),""))</f>
        <v/>
      </c>
      <c r="L646" s="21">
        <f>IF(AND($J646="",$K646=""),"",MIN(IF($J646="",99999,$J646),IF($K646="",99999,$K646)))</f>
        <v/>
      </c>
      <c r="M646" s="16">
        <f>IF(AND($I646="",$J646=""),"",IF(OR(AND($I646&lt;&gt;"",N($I646)&lt;0),AND($J646&lt;&gt;"",N($J646)&lt;0)),"Overdue",IF(OR(AND($I646&lt;&gt;"",N($I646)&lt;=IFERROR(INDEX('Intervals'!$E$4:$E$33,MATCH($B646,'Intervals'!$A$4:$A$33,0)),500)),AND($J646&lt;&gt;"",N($J646)&lt;=IFERROR(INDEX('Intervals'!$F$4:$F$33,MATCH($B646,'Intervals'!$A$4:$A$33,0)),14))),"Due soon","OK")))</f>
        <v/>
      </c>
      <c r="N646" s="15" t="n"/>
      <c r="O646" s="22">
        <f>IF(OR($M646="",$M646="OK"),"",$L646+ROW()/100000)</f>
        <v/>
      </c>
    </row>
    <row r="647">
      <c r="A647" s="15" t="n"/>
      <c r="B647" s="15" t="n"/>
      <c r="C647" s="16">
        <f>IF($B647="","",IFERROR(INDEX('Intervals'!$B$4:$B$33,MATCH($B647,'Intervals'!$A$4:$A$33,0)),""))</f>
        <v/>
      </c>
      <c r="D647" s="17" t="n"/>
      <c r="E647" s="18" t="n"/>
      <c r="F647" s="19">
        <f>IF(OR($B647="",$E647=""),"",IFERROR(IF(AND(INDEX('Intervals'!$G$4:$G$33,MATCH($B647,'Intervals'!$A$4:$A$33,0))&lt;&gt;"No",N(INDEX('Intervals'!$C$4:$C$33,MATCH($B647,'Intervals'!$A$4:$A$33,0)))&gt;0),$E647+N(INDEX('Intervals'!$C$4:$C$33,MATCH($B647,'Intervals'!$A$4:$A$33,0))),""),""))</f>
        <v/>
      </c>
      <c r="G647" s="20">
        <f>IF(OR($B647="",$D647=""),"",IFERROR(IF(AND(INDEX('Intervals'!$G$4:$G$33,MATCH($B647,'Intervals'!$A$4:$A$33,0))&lt;&gt;"No",N(INDEX('Intervals'!$D$4:$D$33,MATCH($B647,'Intervals'!$A$4:$A$33,0)))&gt;0),EDATE($D647,N(INDEX('Intervals'!$D$4:$D$33,MATCH($B647,'Intervals'!$A$4:$A$33,0)))),""),""))</f>
        <v/>
      </c>
      <c r="H647" s="19">
        <f>IF($A647="","",IFERROR(IF(N(INDEX('Cars'!$H$4:$H$103,MATCH($A647,'Cars'!$A$4:$A$103,0)))&gt;0,INDEX('Cars'!$H$4:$H$103,MATCH($A647,'Cars'!$A$4:$A$103,0)),""),""))</f>
        <v/>
      </c>
      <c r="I647" s="19">
        <f>IF(OR($F647="",$H647=""),"",$F647-$H647)</f>
        <v/>
      </c>
      <c r="J647" s="21">
        <f>IF($G647="","",$G647-TODAY())</f>
        <v/>
      </c>
      <c r="K647" s="21">
        <f>IF($I647="","",IFERROR(IF(N(INDEX('Cars'!$J$4:$J$103,MATCH($A647,'Cars'!$A$4:$A$103,0)))&gt;0,ROUND($I647/INDEX('Cars'!$J$4:$J$103,MATCH($A647,'Cars'!$A$4:$A$103,0))*30,0),""),""))</f>
        <v/>
      </c>
      <c r="L647" s="21">
        <f>IF(AND($J647="",$K647=""),"",MIN(IF($J647="",99999,$J647),IF($K647="",99999,$K647)))</f>
        <v/>
      </c>
      <c r="M647" s="16">
        <f>IF(AND($I647="",$J647=""),"",IF(OR(AND($I647&lt;&gt;"",N($I647)&lt;0),AND($J647&lt;&gt;"",N($J647)&lt;0)),"Overdue",IF(OR(AND($I647&lt;&gt;"",N($I647)&lt;=IFERROR(INDEX('Intervals'!$E$4:$E$33,MATCH($B647,'Intervals'!$A$4:$A$33,0)),500)),AND($J647&lt;&gt;"",N($J647)&lt;=IFERROR(INDEX('Intervals'!$F$4:$F$33,MATCH($B647,'Intervals'!$A$4:$A$33,0)),14))),"Due soon","OK")))</f>
        <v/>
      </c>
      <c r="N647" s="15" t="n"/>
      <c r="O647" s="22">
        <f>IF(OR($M647="",$M647="OK"),"",$L647+ROW()/100000)</f>
        <v/>
      </c>
    </row>
    <row r="648">
      <c r="A648" s="15" t="n"/>
      <c r="B648" s="15" t="n"/>
      <c r="C648" s="16">
        <f>IF($B648="","",IFERROR(INDEX('Intervals'!$B$4:$B$33,MATCH($B648,'Intervals'!$A$4:$A$33,0)),""))</f>
        <v/>
      </c>
      <c r="D648" s="17" t="n"/>
      <c r="E648" s="18" t="n"/>
      <c r="F648" s="19">
        <f>IF(OR($B648="",$E648=""),"",IFERROR(IF(AND(INDEX('Intervals'!$G$4:$G$33,MATCH($B648,'Intervals'!$A$4:$A$33,0))&lt;&gt;"No",N(INDEX('Intervals'!$C$4:$C$33,MATCH($B648,'Intervals'!$A$4:$A$33,0)))&gt;0),$E648+N(INDEX('Intervals'!$C$4:$C$33,MATCH($B648,'Intervals'!$A$4:$A$33,0))),""),""))</f>
        <v/>
      </c>
      <c r="G648" s="20">
        <f>IF(OR($B648="",$D648=""),"",IFERROR(IF(AND(INDEX('Intervals'!$G$4:$G$33,MATCH($B648,'Intervals'!$A$4:$A$33,0))&lt;&gt;"No",N(INDEX('Intervals'!$D$4:$D$33,MATCH($B648,'Intervals'!$A$4:$A$33,0)))&gt;0),EDATE($D648,N(INDEX('Intervals'!$D$4:$D$33,MATCH($B648,'Intervals'!$A$4:$A$33,0)))),""),""))</f>
        <v/>
      </c>
      <c r="H648" s="19">
        <f>IF($A648="","",IFERROR(IF(N(INDEX('Cars'!$H$4:$H$103,MATCH($A648,'Cars'!$A$4:$A$103,0)))&gt;0,INDEX('Cars'!$H$4:$H$103,MATCH($A648,'Cars'!$A$4:$A$103,0)),""),""))</f>
        <v/>
      </c>
      <c r="I648" s="19">
        <f>IF(OR($F648="",$H648=""),"",$F648-$H648)</f>
        <v/>
      </c>
      <c r="J648" s="21">
        <f>IF($G648="","",$G648-TODAY())</f>
        <v/>
      </c>
      <c r="K648" s="21">
        <f>IF($I648="","",IFERROR(IF(N(INDEX('Cars'!$J$4:$J$103,MATCH($A648,'Cars'!$A$4:$A$103,0)))&gt;0,ROUND($I648/INDEX('Cars'!$J$4:$J$103,MATCH($A648,'Cars'!$A$4:$A$103,0))*30,0),""),""))</f>
        <v/>
      </c>
      <c r="L648" s="21">
        <f>IF(AND($J648="",$K648=""),"",MIN(IF($J648="",99999,$J648),IF($K648="",99999,$K648)))</f>
        <v/>
      </c>
      <c r="M648" s="16">
        <f>IF(AND($I648="",$J648=""),"",IF(OR(AND($I648&lt;&gt;"",N($I648)&lt;0),AND($J648&lt;&gt;"",N($J648)&lt;0)),"Overdue",IF(OR(AND($I648&lt;&gt;"",N($I648)&lt;=IFERROR(INDEX('Intervals'!$E$4:$E$33,MATCH($B648,'Intervals'!$A$4:$A$33,0)),500)),AND($J648&lt;&gt;"",N($J648)&lt;=IFERROR(INDEX('Intervals'!$F$4:$F$33,MATCH($B648,'Intervals'!$A$4:$A$33,0)),14))),"Due soon","OK")))</f>
        <v/>
      </c>
      <c r="N648" s="15" t="n"/>
      <c r="O648" s="22">
        <f>IF(OR($M648="",$M648="OK"),"",$L648+ROW()/100000)</f>
        <v/>
      </c>
    </row>
    <row r="649">
      <c r="A649" s="15" t="n"/>
      <c r="B649" s="15" t="n"/>
      <c r="C649" s="16">
        <f>IF($B649="","",IFERROR(INDEX('Intervals'!$B$4:$B$33,MATCH($B649,'Intervals'!$A$4:$A$33,0)),""))</f>
        <v/>
      </c>
      <c r="D649" s="17" t="n"/>
      <c r="E649" s="18" t="n"/>
      <c r="F649" s="19">
        <f>IF(OR($B649="",$E649=""),"",IFERROR(IF(AND(INDEX('Intervals'!$G$4:$G$33,MATCH($B649,'Intervals'!$A$4:$A$33,0))&lt;&gt;"No",N(INDEX('Intervals'!$C$4:$C$33,MATCH($B649,'Intervals'!$A$4:$A$33,0)))&gt;0),$E649+N(INDEX('Intervals'!$C$4:$C$33,MATCH($B649,'Intervals'!$A$4:$A$33,0))),""),""))</f>
        <v/>
      </c>
      <c r="G649" s="20">
        <f>IF(OR($B649="",$D649=""),"",IFERROR(IF(AND(INDEX('Intervals'!$G$4:$G$33,MATCH($B649,'Intervals'!$A$4:$A$33,0))&lt;&gt;"No",N(INDEX('Intervals'!$D$4:$D$33,MATCH($B649,'Intervals'!$A$4:$A$33,0)))&gt;0),EDATE($D649,N(INDEX('Intervals'!$D$4:$D$33,MATCH($B649,'Intervals'!$A$4:$A$33,0)))),""),""))</f>
        <v/>
      </c>
      <c r="H649" s="19">
        <f>IF($A649="","",IFERROR(IF(N(INDEX('Cars'!$H$4:$H$103,MATCH($A649,'Cars'!$A$4:$A$103,0)))&gt;0,INDEX('Cars'!$H$4:$H$103,MATCH($A649,'Cars'!$A$4:$A$103,0)),""),""))</f>
        <v/>
      </c>
      <c r="I649" s="19">
        <f>IF(OR($F649="",$H649=""),"",$F649-$H649)</f>
        <v/>
      </c>
      <c r="J649" s="21">
        <f>IF($G649="","",$G649-TODAY())</f>
        <v/>
      </c>
      <c r="K649" s="21">
        <f>IF($I649="","",IFERROR(IF(N(INDEX('Cars'!$J$4:$J$103,MATCH($A649,'Cars'!$A$4:$A$103,0)))&gt;0,ROUND($I649/INDEX('Cars'!$J$4:$J$103,MATCH($A649,'Cars'!$A$4:$A$103,0))*30,0),""),""))</f>
        <v/>
      </c>
      <c r="L649" s="21">
        <f>IF(AND($J649="",$K649=""),"",MIN(IF($J649="",99999,$J649),IF($K649="",99999,$K649)))</f>
        <v/>
      </c>
      <c r="M649" s="16">
        <f>IF(AND($I649="",$J649=""),"",IF(OR(AND($I649&lt;&gt;"",N($I649)&lt;0),AND($J649&lt;&gt;"",N($J649)&lt;0)),"Overdue",IF(OR(AND($I649&lt;&gt;"",N($I649)&lt;=IFERROR(INDEX('Intervals'!$E$4:$E$33,MATCH($B649,'Intervals'!$A$4:$A$33,0)),500)),AND($J649&lt;&gt;"",N($J649)&lt;=IFERROR(INDEX('Intervals'!$F$4:$F$33,MATCH($B649,'Intervals'!$A$4:$A$33,0)),14))),"Due soon","OK")))</f>
        <v/>
      </c>
      <c r="N649" s="15" t="n"/>
      <c r="O649" s="22">
        <f>IF(OR($M649="",$M649="OK"),"",$L649+ROW()/100000)</f>
        <v/>
      </c>
    </row>
    <row r="650">
      <c r="A650" s="15" t="n"/>
      <c r="B650" s="15" t="n"/>
      <c r="C650" s="16">
        <f>IF($B650="","",IFERROR(INDEX('Intervals'!$B$4:$B$33,MATCH($B650,'Intervals'!$A$4:$A$33,0)),""))</f>
        <v/>
      </c>
      <c r="D650" s="17" t="n"/>
      <c r="E650" s="18" t="n"/>
      <c r="F650" s="19">
        <f>IF(OR($B650="",$E650=""),"",IFERROR(IF(AND(INDEX('Intervals'!$G$4:$G$33,MATCH($B650,'Intervals'!$A$4:$A$33,0))&lt;&gt;"No",N(INDEX('Intervals'!$C$4:$C$33,MATCH($B650,'Intervals'!$A$4:$A$33,0)))&gt;0),$E650+N(INDEX('Intervals'!$C$4:$C$33,MATCH($B650,'Intervals'!$A$4:$A$33,0))),""),""))</f>
        <v/>
      </c>
      <c r="G650" s="20">
        <f>IF(OR($B650="",$D650=""),"",IFERROR(IF(AND(INDEX('Intervals'!$G$4:$G$33,MATCH($B650,'Intervals'!$A$4:$A$33,0))&lt;&gt;"No",N(INDEX('Intervals'!$D$4:$D$33,MATCH($B650,'Intervals'!$A$4:$A$33,0)))&gt;0),EDATE($D650,N(INDEX('Intervals'!$D$4:$D$33,MATCH($B650,'Intervals'!$A$4:$A$33,0)))),""),""))</f>
        <v/>
      </c>
      <c r="H650" s="19">
        <f>IF($A650="","",IFERROR(IF(N(INDEX('Cars'!$H$4:$H$103,MATCH($A650,'Cars'!$A$4:$A$103,0)))&gt;0,INDEX('Cars'!$H$4:$H$103,MATCH($A650,'Cars'!$A$4:$A$103,0)),""),""))</f>
        <v/>
      </c>
      <c r="I650" s="19">
        <f>IF(OR($F650="",$H650=""),"",$F650-$H650)</f>
        <v/>
      </c>
      <c r="J650" s="21">
        <f>IF($G650="","",$G650-TODAY())</f>
        <v/>
      </c>
      <c r="K650" s="21">
        <f>IF($I650="","",IFERROR(IF(N(INDEX('Cars'!$J$4:$J$103,MATCH($A650,'Cars'!$A$4:$A$103,0)))&gt;0,ROUND($I650/INDEX('Cars'!$J$4:$J$103,MATCH($A650,'Cars'!$A$4:$A$103,0))*30,0),""),""))</f>
        <v/>
      </c>
      <c r="L650" s="21">
        <f>IF(AND($J650="",$K650=""),"",MIN(IF($J650="",99999,$J650),IF($K650="",99999,$K650)))</f>
        <v/>
      </c>
      <c r="M650" s="16">
        <f>IF(AND($I650="",$J650=""),"",IF(OR(AND($I650&lt;&gt;"",N($I650)&lt;0),AND($J650&lt;&gt;"",N($J650)&lt;0)),"Overdue",IF(OR(AND($I650&lt;&gt;"",N($I650)&lt;=IFERROR(INDEX('Intervals'!$E$4:$E$33,MATCH($B650,'Intervals'!$A$4:$A$33,0)),500)),AND($J650&lt;&gt;"",N($J650)&lt;=IFERROR(INDEX('Intervals'!$F$4:$F$33,MATCH($B650,'Intervals'!$A$4:$A$33,0)),14))),"Due soon","OK")))</f>
        <v/>
      </c>
      <c r="N650" s="15" t="n"/>
      <c r="O650" s="22">
        <f>IF(OR($M650="",$M650="OK"),"",$L650+ROW()/100000)</f>
        <v/>
      </c>
    </row>
    <row r="651">
      <c r="A651" s="15" t="n"/>
      <c r="B651" s="15" t="n"/>
      <c r="C651" s="16">
        <f>IF($B651="","",IFERROR(INDEX('Intervals'!$B$4:$B$33,MATCH($B651,'Intervals'!$A$4:$A$33,0)),""))</f>
        <v/>
      </c>
      <c r="D651" s="17" t="n"/>
      <c r="E651" s="18" t="n"/>
      <c r="F651" s="19">
        <f>IF(OR($B651="",$E651=""),"",IFERROR(IF(AND(INDEX('Intervals'!$G$4:$G$33,MATCH($B651,'Intervals'!$A$4:$A$33,0))&lt;&gt;"No",N(INDEX('Intervals'!$C$4:$C$33,MATCH($B651,'Intervals'!$A$4:$A$33,0)))&gt;0),$E651+N(INDEX('Intervals'!$C$4:$C$33,MATCH($B651,'Intervals'!$A$4:$A$33,0))),""),""))</f>
        <v/>
      </c>
      <c r="G651" s="20">
        <f>IF(OR($B651="",$D651=""),"",IFERROR(IF(AND(INDEX('Intervals'!$G$4:$G$33,MATCH($B651,'Intervals'!$A$4:$A$33,0))&lt;&gt;"No",N(INDEX('Intervals'!$D$4:$D$33,MATCH($B651,'Intervals'!$A$4:$A$33,0)))&gt;0),EDATE($D651,N(INDEX('Intervals'!$D$4:$D$33,MATCH($B651,'Intervals'!$A$4:$A$33,0)))),""),""))</f>
        <v/>
      </c>
      <c r="H651" s="19">
        <f>IF($A651="","",IFERROR(IF(N(INDEX('Cars'!$H$4:$H$103,MATCH($A651,'Cars'!$A$4:$A$103,0)))&gt;0,INDEX('Cars'!$H$4:$H$103,MATCH($A651,'Cars'!$A$4:$A$103,0)),""),""))</f>
        <v/>
      </c>
      <c r="I651" s="19">
        <f>IF(OR($F651="",$H651=""),"",$F651-$H651)</f>
        <v/>
      </c>
      <c r="J651" s="21">
        <f>IF($G651="","",$G651-TODAY())</f>
        <v/>
      </c>
      <c r="K651" s="21">
        <f>IF($I651="","",IFERROR(IF(N(INDEX('Cars'!$J$4:$J$103,MATCH($A651,'Cars'!$A$4:$A$103,0)))&gt;0,ROUND($I651/INDEX('Cars'!$J$4:$J$103,MATCH($A651,'Cars'!$A$4:$A$103,0))*30,0),""),""))</f>
        <v/>
      </c>
      <c r="L651" s="21">
        <f>IF(AND($J651="",$K651=""),"",MIN(IF($J651="",99999,$J651),IF($K651="",99999,$K651)))</f>
        <v/>
      </c>
      <c r="M651" s="16">
        <f>IF(AND($I651="",$J651=""),"",IF(OR(AND($I651&lt;&gt;"",N($I651)&lt;0),AND($J651&lt;&gt;"",N($J651)&lt;0)),"Overdue",IF(OR(AND($I651&lt;&gt;"",N($I651)&lt;=IFERROR(INDEX('Intervals'!$E$4:$E$33,MATCH($B651,'Intervals'!$A$4:$A$33,0)),500)),AND($J651&lt;&gt;"",N($J651)&lt;=IFERROR(INDEX('Intervals'!$F$4:$F$33,MATCH($B651,'Intervals'!$A$4:$A$33,0)),14))),"Due soon","OK")))</f>
        <v/>
      </c>
      <c r="N651" s="15" t="n"/>
      <c r="O651" s="22">
        <f>IF(OR($M651="",$M651="OK"),"",$L651+ROW()/100000)</f>
        <v/>
      </c>
    </row>
    <row r="652">
      <c r="A652" s="15" t="n"/>
      <c r="B652" s="15" t="n"/>
      <c r="C652" s="16">
        <f>IF($B652="","",IFERROR(INDEX('Intervals'!$B$4:$B$33,MATCH($B652,'Intervals'!$A$4:$A$33,0)),""))</f>
        <v/>
      </c>
      <c r="D652" s="17" t="n"/>
      <c r="E652" s="18" t="n"/>
      <c r="F652" s="19">
        <f>IF(OR($B652="",$E652=""),"",IFERROR(IF(AND(INDEX('Intervals'!$G$4:$G$33,MATCH($B652,'Intervals'!$A$4:$A$33,0))&lt;&gt;"No",N(INDEX('Intervals'!$C$4:$C$33,MATCH($B652,'Intervals'!$A$4:$A$33,0)))&gt;0),$E652+N(INDEX('Intervals'!$C$4:$C$33,MATCH($B652,'Intervals'!$A$4:$A$33,0))),""),""))</f>
        <v/>
      </c>
      <c r="G652" s="20">
        <f>IF(OR($B652="",$D652=""),"",IFERROR(IF(AND(INDEX('Intervals'!$G$4:$G$33,MATCH($B652,'Intervals'!$A$4:$A$33,0))&lt;&gt;"No",N(INDEX('Intervals'!$D$4:$D$33,MATCH($B652,'Intervals'!$A$4:$A$33,0)))&gt;0),EDATE($D652,N(INDEX('Intervals'!$D$4:$D$33,MATCH($B652,'Intervals'!$A$4:$A$33,0)))),""),""))</f>
        <v/>
      </c>
      <c r="H652" s="19">
        <f>IF($A652="","",IFERROR(IF(N(INDEX('Cars'!$H$4:$H$103,MATCH($A652,'Cars'!$A$4:$A$103,0)))&gt;0,INDEX('Cars'!$H$4:$H$103,MATCH($A652,'Cars'!$A$4:$A$103,0)),""),""))</f>
        <v/>
      </c>
      <c r="I652" s="19">
        <f>IF(OR($F652="",$H652=""),"",$F652-$H652)</f>
        <v/>
      </c>
      <c r="J652" s="21">
        <f>IF($G652="","",$G652-TODAY())</f>
        <v/>
      </c>
      <c r="K652" s="21">
        <f>IF($I652="","",IFERROR(IF(N(INDEX('Cars'!$J$4:$J$103,MATCH($A652,'Cars'!$A$4:$A$103,0)))&gt;0,ROUND($I652/INDEX('Cars'!$J$4:$J$103,MATCH($A652,'Cars'!$A$4:$A$103,0))*30,0),""),""))</f>
        <v/>
      </c>
      <c r="L652" s="21">
        <f>IF(AND($J652="",$K652=""),"",MIN(IF($J652="",99999,$J652),IF($K652="",99999,$K652)))</f>
        <v/>
      </c>
      <c r="M652" s="16">
        <f>IF(AND($I652="",$J652=""),"",IF(OR(AND($I652&lt;&gt;"",N($I652)&lt;0),AND($J652&lt;&gt;"",N($J652)&lt;0)),"Overdue",IF(OR(AND($I652&lt;&gt;"",N($I652)&lt;=IFERROR(INDEX('Intervals'!$E$4:$E$33,MATCH($B652,'Intervals'!$A$4:$A$33,0)),500)),AND($J652&lt;&gt;"",N($J652)&lt;=IFERROR(INDEX('Intervals'!$F$4:$F$33,MATCH($B652,'Intervals'!$A$4:$A$33,0)),14))),"Due soon","OK")))</f>
        <v/>
      </c>
      <c r="N652" s="15" t="n"/>
      <c r="O652" s="22">
        <f>IF(OR($M652="",$M652="OK"),"",$L652+ROW()/100000)</f>
        <v/>
      </c>
    </row>
    <row r="653">
      <c r="A653" s="15" t="n"/>
      <c r="B653" s="15" t="n"/>
      <c r="C653" s="16">
        <f>IF($B653="","",IFERROR(INDEX('Intervals'!$B$4:$B$33,MATCH($B653,'Intervals'!$A$4:$A$33,0)),""))</f>
        <v/>
      </c>
      <c r="D653" s="17" t="n"/>
      <c r="E653" s="18" t="n"/>
      <c r="F653" s="19">
        <f>IF(OR($B653="",$E653=""),"",IFERROR(IF(AND(INDEX('Intervals'!$G$4:$G$33,MATCH($B653,'Intervals'!$A$4:$A$33,0))&lt;&gt;"No",N(INDEX('Intervals'!$C$4:$C$33,MATCH($B653,'Intervals'!$A$4:$A$33,0)))&gt;0),$E653+N(INDEX('Intervals'!$C$4:$C$33,MATCH($B653,'Intervals'!$A$4:$A$33,0))),""),""))</f>
        <v/>
      </c>
      <c r="G653" s="20">
        <f>IF(OR($B653="",$D653=""),"",IFERROR(IF(AND(INDEX('Intervals'!$G$4:$G$33,MATCH($B653,'Intervals'!$A$4:$A$33,0))&lt;&gt;"No",N(INDEX('Intervals'!$D$4:$D$33,MATCH($B653,'Intervals'!$A$4:$A$33,0)))&gt;0),EDATE($D653,N(INDEX('Intervals'!$D$4:$D$33,MATCH($B653,'Intervals'!$A$4:$A$33,0)))),""),""))</f>
        <v/>
      </c>
      <c r="H653" s="19">
        <f>IF($A653="","",IFERROR(IF(N(INDEX('Cars'!$H$4:$H$103,MATCH($A653,'Cars'!$A$4:$A$103,0)))&gt;0,INDEX('Cars'!$H$4:$H$103,MATCH($A653,'Cars'!$A$4:$A$103,0)),""),""))</f>
        <v/>
      </c>
      <c r="I653" s="19">
        <f>IF(OR($F653="",$H653=""),"",$F653-$H653)</f>
        <v/>
      </c>
      <c r="J653" s="21">
        <f>IF($G653="","",$G653-TODAY())</f>
        <v/>
      </c>
      <c r="K653" s="21">
        <f>IF($I653="","",IFERROR(IF(N(INDEX('Cars'!$J$4:$J$103,MATCH($A653,'Cars'!$A$4:$A$103,0)))&gt;0,ROUND($I653/INDEX('Cars'!$J$4:$J$103,MATCH($A653,'Cars'!$A$4:$A$103,0))*30,0),""),""))</f>
        <v/>
      </c>
      <c r="L653" s="21">
        <f>IF(AND($J653="",$K653=""),"",MIN(IF($J653="",99999,$J653),IF($K653="",99999,$K653)))</f>
        <v/>
      </c>
      <c r="M653" s="16">
        <f>IF(AND($I653="",$J653=""),"",IF(OR(AND($I653&lt;&gt;"",N($I653)&lt;0),AND($J653&lt;&gt;"",N($J653)&lt;0)),"Overdue",IF(OR(AND($I653&lt;&gt;"",N($I653)&lt;=IFERROR(INDEX('Intervals'!$E$4:$E$33,MATCH($B653,'Intervals'!$A$4:$A$33,0)),500)),AND($J653&lt;&gt;"",N($J653)&lt;=IFERROR(INDEX('Intervals'!$F$4:$F$33,MATCH($B653,'Intervals'!$A$4:$A$33,0)),14))),"Due soon","OK")))</f>
        <v/>
      </c>
      <c r="N653" s="15" t="n"/>
      <c r="O653" s="22">
        <f>IF(OR($M653="",$M653="OK"),"",$L653+ROW()/100000)</f>
        <v/>
      </c>
    </row>
    <row r="654">
      <c r="A654" s="15" t="n"/>
      <c r="B654" s="15" t="n"/>
      <c r="C654" s="16">
        <f>IF($B654="","",IFERROR(INDEX('Intervals'!$B$4:$B$33,MATCH($B654,'Intervals'!$A$4:$A$33,0)),""))</f>
        <v/>
      </c>
      <c r="D654" s="17" t="n"/>
      <c r="E654" s="18" t="n"/>
      <c r="F654" s="19">
        <f>IF(OR($B654="",$E654=""),"",IFERROR(IF(AND(INDEX('Intervals'!$G$4:$G$33,MATCH($B654,'Intervals'!$A$4:$A$33,0))&lt;&gt;"No",N(INDEX('Intervals'!$C$4:$C$33,MATCH($B654,'Intervals'!$A$4:$A$33,0)))&gt;0),$E654+N(INDEX('Intervals'!$C$4:$C$33,MATCH($B654,'Intervals'!$A$4:$A$33,0))),""),""))</f>
        <v/>
      </c>
      <c r="G654" s="20">
        <f>IF(OR($B654="",$D654=""),"",IFERROR(IF(AND(INDEX('Intervals'!$G$4:$G$33,MATCH($B654,'Intervals'!$A$4:$A$33,0))&lt;&gt;"No",N(INDEX('Intervals'!$D$4:$D$33,MATCH($B654,'Intervals'!$A$4:$A$33,0)))&gt;0),EDATE($D654,N(INDEX('Intervals'!$D$4:$D$33,MATCH($B654,'Intervals'!$A$4:$A$33,0)))),""),""))</f>
        <v/>
      </c>
      <c r="H654" s="19">
        <f>IF($A654="","",IFERROR(IF(N(INDEX('Cars'!$H$4:$H$103,MATCH($A654,'Cars'!$A$4:$A$103,0)))&gt;0,INDEX('Cars'!$H$4:$H$103,MATCH($A654,'Cars'!$A$4:$A$103,0)),""),""))</f>
        <v/>
      </c>
      <c r="I654" s="19">
        <f>IF(OR($F654="",$H654=""),"",$F654-$H654)</f>
        <v/>
      </c>
      <c r="J654" s="21">
        <f>IF($G654="","",$G654-TODAY())</f>
        <v/>
      </c>
      <c r="K654" s="21">
        <f>IF($I654="","",IFERROR(IF(N(INDEX('Cars'!$J$4:$J$103,MATCH($A654,'Cars'!$A$4:$A$103,0)))&gt;0,ROUND($I654/INDEX('Cars'!$J$4:$J$103,MATCH($A654,'Cars'!$A$4:$A$103,0))*30,0),""),""))</f>
        <v/>
      </c>
      <c r="L654" s="21">
        <f>IF(AND($J654="",$K654=""),"",MIN(IF($J654="",99999,$J654),IF($K654="",99999,$K654)))</f>
        <v/>
      </c>
      <c r="M654" s="16">
        <f>IF(AND($I654="",$J654=""),"",IF(OR(AND($I654&lt;&gt;"",N($I654)&lt;0),AND($J654&lt;&gt;"",N($J654)&lt;0)),"Overdue",IF(OR(AND($I654&lt;&gt;"",N($I654)&lt;=IFERROR(INDEX('Intervals'!$E$4:$E$33,MATCH($B654,'Intervals'!$A$4:$A$33,0)),500)),AND($J654&lt;&gt;"",N($J654)&lt;=IFERROR(INDEX('Intervals'!$F$4:$F$33,MATCH($B654,'Intervals'!$A$4:$A$33,0)),14))),"Due soon","OK")))</f>
        <v/>
      </c>
      <c r="N654" s="15" t="n"/>
      <c r="O654" s="22">
        <f>IF(OR($M654="",$M654="OK"),"",$L654+ROW()/100000)</f>
        <v/>
      </c>
    </row>
    <row r="655">
      <c r="A655" s="15" t="n"/>
      <c r="B655" s="15" t="n"/>
      <c r="C655" s="16">
        <f>IF($B655="","",IFERROR(INDEX('Intervals'!$B$4:$B$33,MATCH($B655,'Intervals'!$A$4:$A$33,0)),""))</f>
        <v/>
      </c>
      <c r="D655" s="17" t="n"/>
      <c r="E655" s="18" t="n"/>
      <c r="F655" s="19">
        <f>IF(OR($B655="",$E655=""),"",IFERROR(IF(AND(INDEX('Intervals'!$G$4:$G$33,MATCH($B655,'Intervals'!$A$4:$A$33,0))&lt;&gt;"No",N(INDEX('Intervals'!$C$4:$C$33,MATCH($B655,'Intervals'!$A$4:$A$33,0)))&gt;0),$E655+N(INDEX('Intervals'!$C$4:$C$33,MATCH($B655,'Intervals'!$A$4:$A$33,0))),""),""))</f>
        <v/>
      </c>
      <c r="G655" s="20">
        <f>IF(OR($B655="",$D655=""),"",IFERROR(IF(AND(INDEX('Intervals'!$G$4:$G$33,MATCH($B655,'Intervals'!$A$4:$A$33,0))&lt;&gt;"No",N(INDEX('Intervals'!$D$4:$D$33,MATCH($B655,'Intervals'!$A$4:$A$33,0)))&gt;0),EDATE($D655,N(INDEX('Intervals'!$D$4:$D$33,MATCH($B655,'Intervals'!$A$4:$A$33,0)))),""),""))</f>
        <v/>
      </c>
      <c r="H655" s="19">
        <f>IF($A655="","",IFERROR(IF(N(INDEX('Cars'!$H$4:$H$103,MATCH($A655,'Cars'!$A$4:$A$103,0)))&gt;0,INDEX('Cars'!$H$4:$H$103,MATCH($A655,'Cars'!$A$4:$A$103,0)),""),""))</f>
        <v/>
      </c>
      <c r="I655" s="19">
        <f>IF(OR($F655="",$H655=""),"",$F655-$H655)</f>
        <v/>
      </c>
      <c r="J655" s="21">
        <f>IF($G655="","",$G655-TODAY())</f>
        <v/>
      </c>
      <c r="K655" s="21">
        <f>IF($I655="","",IFERROR(IF(N(INDEX('Cars'!$J$4:$J$103,MATCH($A655,'Cars'!$A$4:$A$103,0)))&gt;0,ROUND($I655/INDEX('Cars'!$J$4:$J$103,MATCH($A655,'Cars'!$A$4:$A$103,0))*30,0),""),""))</f>
        <v/>
      </c>
      <c r="L655" s="21">
        <f>IF(AND($J655="",$K655=""),"",MIN(IF($J655="",99999,$J655),IF($K655="",99999,$K655)))</f>
        <v/>
      </c>
      <c r="M655" s="16">
        <f>IF(AND($I655="",$J655=""),"",IF(OR(AND($I655&lt;&gt;"",N($I655)&lt;0),AND($J655&lt;&gt;"",N($J655)&lt;0)),"Overdue",IF(OR(AND($I655&lt;&gt;"",N($I655)&lt;=IFERROR(INDEX('Intervals'!$E$4:$E$33,MATCH($B655,'Intervals'!$A$4:$A$33,0)),500)),AND($J655&lt;&gt;"",N($J655)&lt;=IFERROR(INDEX('Intervals'!$F$4:$F$33,MATCH($B655,'Intervals'!$A$4:$A$33,0)),14))),"Due soon","OK")))</f>
        <v/>
      </c>
      <c r="N655" s="15" t="n"/>
      <c r="O655" s="22">
        <f>IF(OR($M655="",$M655="OK"),"",$L655+ROW()/100000)</f>
        <v/>
      </c>
    </row>
    <row r="656">
      <c r="A656" s="15" t="n"/>
      <c r="B656" s="15" t="n"/>
      <c r="C656" s="16">
        <f>IF($B656="","",IFERROR(INDEX('Intervals'!$B$4:$B$33,MATCH($B656,'Intervals'!$A$4:$A$33,0)),""))</f>
        <v/>
      </c>
      <c r="D656" s="17" t="n"/>
      <c r="E656" s="18" t="n"/>
      <c r="F656" s="19">
        <f>IF(OR($B656="",$E656=""),"",IFERROR(IF(AND(INDEX('Intervals'!$G$4:$G$33,MATCH($B656,'Intervals'!$A$4:$A$33,0))&lt;&gt;"No",N(INDEX('Intervals'!$C$4:$C$33,MATCH($B656,'Intervals'!$A$4:$A$33,0)))&gt;0),$E656+N(INDEX('Intervals'!$C$4:$C$33,MATCH($B656,'Intervals'!$A$4:$A$33,0))),""),""))</f>
        <v/>
      </c>
      <c r="G656" s="20">
        <f>IF(OR($B656="",$D656=""),"",IFERROR(IF(AND(INDEX('Intervals'!$G$4:$G$33,MATCH($B656,'Intervals'!$A$4:$A$33,0))&lt;&gt;"No",N(INDEX('Intervals'!$D$4:$D$33,MATCH($B656,'Intervals'!$A$4:$A$33,0)))&gt;0),EDATE($D656,N(INDEX('Intervals'!$D$4:$D$33,MATCH($B656,'Intervals'!$A$4:$A$33,0)))),""),""))</f>
        <v/>
      </c>
      <c r="H656" s="19">
        <f>IF($A656="","",IFERROR(IF(N(INDEX('Cars'!$H$4:$H$103,MATCH($A656,'Cars'!$A$4:$A$103,0)))&gt;0,INDEX('Cars'!$H$4:$H$103,MATCH($A656,'Cars'!$A$4:$A$103,0)),""),""))</f>
        <v/>
      </c>
      <c r="I656" s="19">
        <f>IF(OR($F656="",$H656=""),"",$F656-$H656)</f>
        <v/>
      </c>
      <c r="J656" s="21">
        <f>IF($G656="","",$G656-TODAY())</f>
        <v/>
      </c>
      <c r="K656" s="21">
        <f>IF($I656="","",IFERROR(IF(N(INDEX('Cars'!$J$4:$J$103,MATCH($A656,'Cars'!$A$4:$A$103,0)))&gt;0,ROUND($I656/INDEX('Cars'!$J$4:$J$103,MATCH($A656,'Cars'!$A$4:$A$103,0))*30,0),""),""))</f>
        <v/>
      </c>
      <c r="L656" s="21">
        <f>IF(AND($J656="",$K656=""),"",MIN(IF($J656="",99999,$J656),IF($K656="",99999,$K656)))</f>
        <v/>
      </c>
      <c r="M656" s="16">
        <f>IF(AND($I656="",$J656=""),"",IF(OR(AND($I656&lt;&gt;"",N($I656)&lt;0),AND($J656&lt;&gt;"",N($J656)&lt;0)),"Overdue",IF(OR(AND($I656&lt;&gt;"",N($I656)&lt;=IFERROR(INDEX('Intervals'!$E$4:$E$33,MATCH($B656,'Intervals'!$A$4:$A$33,0)),500)),AND($J656&lt;&gt;"",N($J656)&lt;=IFERROR(INDEX('Intervals'!$F$4:$F$33,MATCH($B656,'Intervals'!$A$4:$A$33,0)),14))),"Due soon","OK")))</f>
        <v/>
      </c>
      <c r="N656" s="15" t="n"/>
      <c r="O656" s="22">
        <f>IF(OR($M656="",$M656="OK"),"",$L656+ROW()/100000)</f>
        <v/>
      </c>
    </row>
    <row r="657">
      <c r="A657" s="15" t="n"/>
      <c r="B657" s="15" t="n"/>
      <c r="C657" s="16">
        <f>IF($B657="","",IFERROR(INDEX('Intervals'!$B$4:$B$33,MATCH($B657,'Intervals'!$A$4:$A$33,0)),""))</f>
        <v/>
      </c>
      <c r="D657" s="17" t="n"/>
      <c r="E657" s="18" t="n"/>
      <c r="F657" s="19">
        <f>IF(OR($B657="",$E657=""),"",IFERROR(IF(AND(INDEX('Intervals'!$G$4:$G$33,MATCH($B657,'Intervals'!$A$4:$A$33,0))&lt;&gt;"No",N(INDEX('Intervals'!$C$4:$C$33,MATCH($B657,'Intervals'!$A$4:$A$33,0)))&gt;0),$E657+N(INDEX('Intervals'!$C$4:$C$33,MATCH($B657,'Intervals'!$A$4:$A$33,0))),""),""))</f>
        <v/>
      </c>
      <c r="G657" s="20">
        <f>IF(OR($B657="",$D657=""),"",IFERROR(IF(AND(INDEX('Intervals'!$G$4:$G$33,MATCH($B657,'Intervals'!$A$4:$A$33,0))&lt;&gt;"No",N(INDEX('Intervals'!$D$4:$D$33,MATCH($B657,'Intervals'!$A$4:$A$33,0)))&gt;0),EDATE($D657,N(INDEX('Intervals'!$D$4:$D$33,MATCH($B657,'Intervals'!$A$4:$A$33,0)))),""),""))</f>
        <v/>
      </c>
      <c r="H657" s="19">
        <f>IF($A657="","",IFERROR(IF(N(INDEX('Cars'!$H$4:$H$103,MATCH($A657,'Cars'!$A$4:$A$103,0)))&gt;0,INDEX('Cars'!$H$4:$H$103,MATCH($A657,'Cars'!$A$4:$A$103,0)),""),""))</f>
        <v/>
      </c>
      <c r="I657" s="19">
        <f>IF(OR($F657="",$H657=""),"",$F657-$H657)</f>
        <v/>
      </c>
      <c r="J657" s="21">
        <f>IF($G657="","",$G657-TODAY())</f>
        <v/>
      </c>
      <c r="K657" s="21">
        <f>IF($I657="","",IFERROR(IF(N(INDEX('Cars'!$J$4:$J$103,MATCH($A657,'Cars'!$A$4:$A$103,0)))&gt;0,ROUND($I657/INDEX('Cars'!$J$4:$J$103,MATCH($A657,'Cars'!$A$4:$A$103,0))*30,0),""),""))</f>
        <v/>
      </c>
      <c r="L657" s="21">
        <f>IF(AND($J657="",$K657=""),"",MIN(IF($J657="",99999,$J657),IF($K657="",99999,$K657)))</f>
        <v/>
      </c>
      <c r="M657" s="16">
        <f>IF(AND($I657="",$J657=""),"",IF(OR(AND($I657&lt;&gt;"",N($I657)&lt;0),AND($J657&lt;&gt;"",N($J657)&lt;0)),"Overdue",IF(OR(AND($I657&lt;&gt;"",N($I657)&lt;=IFERROR(INDEX('Intervals'!$E$4:$E$33,MATCH($B657,'Intervals'!$A$4:$A$33,0)),500)),AND($J657&lt;&gt;"",N($J657)&lt;=IFERROR(INDEX('Intervals'!$F$4:$F$33,MATCH($B657,'Intervals'!$A$4:$A$33,0)),14))),"Due soon","OK")))</f>
        <v/>
      </c>
      <c r="N657" s="15" t="n"/>
      <c r="O657" s="22">
        <f>IF(OR($M657="",$M657="OK"),"",$L657+ROW()/100000)</f>
        <v/>
      </c>
    </row>
    <row r="658">
      <c r="A658" s="15" t="n"/>
      <c r="B658" s="15" t="n"/>
      <c r="C658" s="16">
        <f>IF($B658="","",IFERROR(INDEX('Intervals'!$B$4:$B$33,MATCH($B658,'Intervals'!$A$4:$A$33,0)),""))</f>
        <v/>
      </c>
      <c r="D658" s="17" t="n"/>
      <c r="E658" s="18" t="n"/>
      <c r="F658" s="19">
        <f>IF(OR($B658="",$E658=""),"",IFERROR(IF(AND(INDEX('Intervals'!$G$4:$G$33,MATCH($B658,'Intervals'!$A$4:$A$33,0))&lt;&gt;"No",N(INDEX('Intervals'!$C$4:$C$33,MATCH($B658,'Intervals'!$A$4:$A$33,0)))&gt;0),$E658+N(INDEX('Intervals'!$C$4:$C$33,MATCH($B658,'Intervals'!$A$4:$A$33,0))),""),""))</f>
        <v/>
      </c>
      <c r="G658" s="20">
        <f>IF(OR($B658="",$D658=""),"",IFERROR(IF(AND(INDEX('Intervals'!$G$4:$G$33,MATCH($B658,'Intervals'!$A$4:$A$33,0))&lt;&gt;"No",N(INDEX('Intervals'!$D$4:$D$33,MATCH($B658,'Intervals'!$A$4:$A$33,0)))&gt;0),EDATE($D658,N(INDEX('Intervals'!$D$4:$D$33,MATCH($B658,'Intervals'!$A$4:$A$33,0)))),""),""))</f>
        <v/>
      </c>
      <c r="H658" s="19">
        <f>IF($A658="","",IFERROR(IF(N(INDEX('Cars'!$H$4:$H$103,MATCH($A658,'Cars'!$A$4:$A$103,0)))&gt;0,INDEX('Cars'!$H$4:$H$103,MATCH($A658,'Cars'!$A$4:$A$103,0)),""),""))</f>
        <v/>
      </c>
      <c r="I658" s="19">
        <f>IF(OR($F658="",$H658=""),"",$F658-$H658)</f>
        <v/>
      </c>
      <c r="J658" s="21">
        <f>IF($G658="","",$G658-TODAY())</f>
        <v/>
      </c>
      <c r="K658" s="21">
        <f>IF($I658="","",IFERROR(IF(N(INDEX('Cars'!$J$4:$J$103,MATCH($A658,'Cars'!$A$4:$A$103,0)))&gt;0,ROUND($I658/INDEX('Cars'!$J$4:$J$103,MATCH($A658,'Cars'!$A$4:$A$103,0))*30,0),""),""))</f>
        <v/>
      </c>
      <c r="L658" s="21">
        <f>IF(AND($J658="",$K658=""),"",MIN(IF($J658="",99999,$J658),IF($K658="",99999,$K658)))</f>
        <v/>
      </c>
      <c r="M658" s="16">
        <f>IF(AND($I658="",$J658=""),"",IF(OR(AND($I658&lt;&gt;"",N($I658)&lt;0),AND($J658&lt;&gt;"",N($J658)&lt;0)),"Overdue",IF(OR(AND($I658&lt;&gt;"",N($I658)&lt;=IFERROR(INDEX('Intervals'!$E$4:$E$33,MATCH($B658,'Intervals'!$A$4:$A$33,0)),500)),AND($J658&lt;&gt;"",N($J658)&lt;=IFERROR(INDEX('Intervals'!$F$4:$F$33,MATCH($B658,'Intervals'!$A$4:$A$33,0)),14))),"Due soon","OK")))</f>
        <v/>
      </c>
      <c r="N658" s="15" t="n"/>
      <c r="O658" s="22">
        <f>IF(OR($M658="",$M658="OK"),"",$L658+ROW()/100000)</f>
        <v/>
      </c>
    </row>
    <row r="659">
      <c r="A659" s="15" t="n"/>
      <c r="B659" s="15" t="n"/>
      <c r="C659" s="16">
        <f>IF($B659="","",IFERROR(INDEX('Intervals'!$B$4:$B$33,MATCH($B659,'Intervals'!$A$4:$A$33,0)),""))</f>
        <v/>
      </c>
      <c r="D659" s="17" t="n"/>
      <c r="E659" s="18" t="n"/>
      <c r="F659" s="19">
        <f>IF(OR($B659="",$E659=""),"",IFERROR(IF(AND(INDEX('Intervals'!$G$4:$G$33,MATCH($B659,'Intervals'!$A$4:$A$33,0))&lt;&gt;"No",N(INDEX('Intervals'!$C$4:$C$33,MATCH($B659,'Intervals'!$A$4:$A$33,0)))&gt;0),$E659+N(INDEX('Intervals'!$C$4:$C$33,MATCH($B659,'Intervals'!$A$4:$A$33,0))),""),""))</f>
        <v/>
      </c>
      <c r="G659" s="20">
        <f>IF(OR($B659="",$D659=""),"",IFERROR(IF(AND(INDEX('Intervals'!$G$4:$G$33,MATCH($B659,'Intervals'!$A$4:$A$33,0))&lt;&gt;"No",N(INDEX('Intervals'!$D$4:$D$33,MATCH($B659,'Intervals'!$A$4:$A$33,0)))&gt;0),EDATE($D659,N(INDEX('Intervals'!$D$4:$D$33,MATCH($B659,'Intervals'!$A$4:$A$33,0)))),""),""))</f>
        <v/>
      </c>
      <c r="H659" s="19">
        <f>IF($A659="","",IFERROR(IF(N(INDEX('Cars'!$H$4:$H$103,MATCH($A659,'Cars'!$A$4:$A$103,0)))&gt;0,INDEX('Cars'!$H$4:$H$103,MATCH($A659,'Cars'!$A$4:$A$103,0)),""),""))</f>
        <v/>
      </c>
      <c r="I659" s="19">
        <f>IF(OR($F659="",$H659=""),"",$F659-$H659)</f>
        <v/>
      </c>
      <c r="J659" s="21">
        <f>IF($G659="","",$G659-TODAY())</f>
        <v/>
      </c>
      <c r="K659" s="21">
        <f>IF($I659="","",IFERROR(IF(N(INDEX('Cars'!$J$4:$J$103,MATCH($A659,'Cars'!$A$4:$A$103,0)))&gt;0,ROUND($I659/INDEX('Cars'!$J$4:$J$103,MATCH($A659,'Cars'!$A$4:$A$103,0))*30,0),""),""))</f>
        <v/>
      </c>
      <c r="L659" s="21">
        <f>IF(AND($J659="",$K659=""),"",MIN(IF($J659="",99999,$J659),IF($K659="",99999,$K659)))</f>
        <v/>
      </c>
      <c r="M659" s="16">
        <f>IF(AND($I659="",$J659=""),"",IF(OR(AND($I659&lt;&gt;"",N($I659)&lt;0),AND($J659&lt;&gt;"",N($J659)&lt;0)),"Overdue",IF(OR(AND($I659&lt;&gt;"",N($I659)&lt;=IFERROR(INDEX('Intervals'!$E$4:$E$33,MATCH($B659,'Intervals'!$A$4:$A$33,0)),500)),AND($J659&lt;&gt;"",N($J659)&lt;=IFERROR(INDEX('Intervals'!$F$4:$F$33,MATCH($B659,'Intervals'!$A$4:$A$33,0)),14))),"Due soon","OK")))</f>
        <v/>
      </c>
      <c r="N659" s="15" t="n"/>
      <c r="O659" s="22">
        <f>IF(OR($M659="",$M659="OK"),"",$L659+ROW()/100000)</f>
        <v/>
      </c>
    </row>
    <row r="660">
      <c r="A660" s="15" t="n"/>
      <c r="B660" s="15" t="n"/>
      <c r="C660" s="16">
        <f>IF($B660="","",IFERROR(INDEX('Intervals'!$B$4:$B$33,MATCH($B660,'Intervals'!$A$4:$A$33,0)),""))</f>
        <v/>
      </c>
      <c r="D660" s="17" t="n"/>
      <c r="E660" s="18" t="n"/>
      <c r="F660" s="19">
        <f>IF(OR($B660="",$E660=""),"",IFERROR(IF(AND(INDEX('Intervals'!$G$4:$G$33,MATCH($B660,'Intervals'!$A$4:$A$33,0))&lt;&gt;"No",N(INDEX('Intervals'!$C$4:$C$33,MATCH($B660,'Intervals'!$A$4:$A$33,0)))&gt;0),$E660+N(INDEX('Intervals'!$C$4:$C$33,MATCH($B660,'Intervals'!$A$4:$A$33,0))),""),""))</f>
        <v/>
      </c>
      <c r="G660" s="20">
        <f>IF(OR($B660="",$D660=""),"",IFERROR(IF(AND(INDEX('Intervals'!$G$4:$G$33,MATCH($B660,'Intervals'!$A$4:$A$33,0))&lt;&gt;"No",N(INDEX('Intervals'!$D$4:$D$33,MATCH($B660,'Intervals'!$A$4:$A$33,0)))&gt;0),EDATE($D660,N(INDEX('Intervals'!$D$4:$D$33,MATCH($B660,'Intervals'!$A$4:$A$33,0)))),""),""))</f>
        <v/>
      </c>
      <c r="H660" s="19">
        <f>IF($A660="","",IFERROR(IF(N(INDEX('Cars'!$H$4:$H$103,MATCH($A660,'Cars'!$A$4:$A$103,0)))&gt;0,INDEX('Cars'!$H$4:$H$103,MATCH($A660,'Cars'!$A$4:$A$103,0)),""),""))</f>
        <v/>
      </c>
      <c r="I660" s="19">
        <f>IF(OR($F660="",$H660=""),"",$F660-$H660)</f>
        <v/>
      </c>
      <c r="J660" s="21">
        <f>IF($G660="","",$G660-TODAY())</f>
        <v/>
      </c>
      <c r="K660" s="21">
        <f>IF($I660="","",IFERROR(IF(N(INDEX('Cars'!$J$4:$J$103,MATCH($A660,'Cars'!$A$4:$A$103,0)))&gt;0,ROUND($I660/INDEX('Cars'!$J$4:$J$103,MATCH($A660,'Cars'!$A$4:$A$103,0))*30,0),""),""))</f>
        <v/>
      </c>
      <c r="L660" s="21">
        <f>IF(AND($J660="",$K660=""),"",MIN(IF($J660="",99999,$J660),IF($K660="",99999,$K660)))</f>
        <v/>
      </c>
      <c r="M660" s="16">
        <f>IF(AND($I660="",$J660=""),"",IF(OR(AND($I660&lt;&gt;"",N($I660)&lt;0),AND($J660&lt;&gt;"",N($J660)&lt;0)),"Overdue",IF(OR(AND($I660&lt;&gt;"",N($I660)&lt;=IFERROR(INDEX('Intervals'!$E$4:$E$33,MATCH($B660,'Intervals'!$A$4:$A$33,0)),500)),AND($J660&lt;&gt;"",N($J660)&lt;=IFERROR(INDEX('Intervals'!$F$4:$F$33,MATCH($B660,'Intervals'!$A$4:$A$33,0)),14))),"Due soon","OK")))</f>
        <v/>
      </c>
      <c r="N660" s="15" t="n"/>
      <c r="O660" s="22">
        <f>IF(OR($M660="",$M660="OK"),"",$L660+ROW()/100000)</f>
        <v/>
      </c>
    </row>
    <row r="661">
      <c r="A661" s="15" t="n"/>
      <c r="B661" s="15" t="n"/>
      <c r="C661" s="16">
        <f>IF($B661="","",IFERROR(INDEX('Intervals'!$B$4:$B$33,MATCH($B661,'Intervals'!$A$4:$A$33,0)),""))</f>
        <v/>
      </c>
      <c r="D661" s="17" t="n"/>
      <c r="E661" s="18" t="n"/>
      <c r="F661" s="19">
        <f>IF(OR($B661="",$E661=""),"",IFERROR(IF(AND(INDEX('Intervals'!$G$4:$G$33,MATCH($B661,'Intervals'!$A$4:$A$33,0))&lt;&gt;"No",N(INDEX('Intervals'!$C$4:$C$33,MATCH($B661,'Intervals'!$A$4:$A$33,0)))&gt;0),$E661+N(INDEX('Intervals'!$C$4:$C$33,MATCH($B661,'Intervals'!$A$4:$A$33,0))),""),""))</f>
        <v/>
      </c>
      <c r="G661" s="20">
        <f>IF(OR($B661="",$D661=""),"",IFERROR(IF(AND(INDEX('Intervals'!$G$4:$G$33,MATCH($B661,'Intervals'!$A$4:$A$33,0))&lt;&gt;"No",N(INDEX('Intervals'!$D$4:$D$33,MATCH($B661,'Intervals'!$A$4:$A$33,0)))&gt;0),EDATE($D661,N(INDEX('Intervals'!$D$4:$D$33,MATCH($B661,'Intervals'!$A$4:$A$33,0)))),""),""))</f>
        <v/>
      </c>
      <c r="H661" s="19">
        <f>IF($A661="","",IFERROR(IF(N(INDEX('Cars'!$H$4:$H$103,MATCH($A661,'Cars'!$A$4:$A$103,0)))&gt;0,INDEX('Cars'!$H$4:$H$103,MATCH($A661,'Cars'!$A$4:$A$103,0)),""),""))</f>
        <v/>
      </c>
      <c r="I661" s="19">
        <f>IF(OR($F661="",$H661=""),"",$F661-$H661)</f>
        <v/>
      </c>
      <c r="J661" s="21">
        <f>IF($G661="","",$G661-TODAY())</f>
        <v/>
      </c>
      <c r="K661" s="21">
        <f>IF($I661="","",IFERROR(IF(N(INDEX('Cars'!$J$4:$J$103,MATCH($A661,'Cars'!$A$4:$A$103,0)))&gt;0,ROUND($I661/INDEX('Cars'!$J$4:$J$103,MATCH($A661,'Cars'!$A$4:$A$103,0))*30,0),""),""))</f>
        <v/>
      </c>
      <c r="L661" s="21">
        <f>IF(AND($J661="",$K661=""),"",MIN(IF($J661="",99999,$J661),IF($K661="",99999,$K661)))</f>
        <v/>
      </c>
      <c r="M661" s="16">
        <f>IF(AND($I661="",$J661=""),"",IF(OR(AND($I661&lt;&gt;"",N($I661)&lt;0),AND($J661&lt;&gt;"",N($J661)&lt;0)),"Overdue",IF(OR(AND($I661&lt;&gt;"",N($I661)&lt;=IFERROR(INDEX('Intervals'!$E$4:$E$33,MATCH($B661,'Intervals'!$A$4:$A$33,0)),500)),AND($J661&lt;&gt;"",N($J661)&lt;=IFERROR(INDEX('Intervals'!$F$4:$F$33,MATCH($B661,'Intervals'!$A$4:$A$33,0)),14))),"Due soon","OK")))</f>
        <v/>
      </c>
      <c r="N661" s="15" t="n"/>
      <c r="O661" s="22">
        <f>IF(OR($M661="",$M661="OK"),"",$L661+ROW()/100000)</f>
        <v/>
      </c>
    </row>
    <row r="662">
      <c r="A662" s="15" t="n"/>
      <c r="B662" s="15" t="n"/>
      <c r="C662" s="16">
        <f>IF($B662="","",IFERROR(INDEX('Intervals'!$B$4:$B$33,MATCH($B662,'Intervals'!$A$4:$A$33,0)),""))</f>
        <v/>
      </c>
      <c r="D662" s="17" t="n"/>
      <c r="E662" s="18" t="n"/>
      <c r="F662" s="19">
        <f>IF(OR($B662="",$E662=""),"",IFERROR(IF(AND(INDEX('Intervals'!$G$4:$G$33,MATCH($B662,'Intervals'!$A$4:$A$33,0))&lt;&gt;"No",N(INDEX('Intervals'!$C$4:$C$33,MATCH($B662,'Intervals'!$A$4:$A$33,0)))&gt;0),$E662+N(INDEX('Intervals'!$C$4:$C$33,MATCH($B662,'Intervals'!$A$4:$A$33,0))),""),""))</f>
        <v/>
      </c>
      <c r="G662" s="20">
        <f>IF(OR($B662="",$D662=""),"",IFERROR(IF(AND(INDEX('Intervals'!$G$4:$G$33,MATCH($B662,'Intervals'!$A$4:$A$33,0))&lt;&gt;"No",N(INDEX('Intervals'!$D$4:$D$33,MATCH($B662,'Intervals'!$A$4:$A$33,0)))&gt;0),EDATE($D662,N(INDEX('Intervals'!$D$4:$D$33,MATCH($B662,'Intervals'!$A$4:$A$33,0)))),""),""))</f>
        <v/>
      </c>
      <c r="H662" s="19">
        <f>IF($A662="","",IFERROR(IF(N(INDEX('Cars'!$H$4:$H$103,MATCH($A662,'Cars'!$A$4:$A$103,0)))&gt;0,INDEX('Cars'!$H$4:$H$103,MATCH($A662,'Cars'!$A$4:$A$103,0)),""),""))</f>
        <v/>
      </c>
      <c r="I662" s="19">
        <f>IF(OR($F662="",$H662=""),"",$F662-$H662)</f>
        <v/>
      </c>
      <c r="J662" s="21">
        <f>IF($G662="","",$G662-TODAY())</f>
        <v/>
      </c>
      <c r="K662" s="21">
        <f>IF($I662="","",IFERROR(IF(N(INDEX('Cars'!$J$4:$J$103,MATCH($A662,'Cars'!$A$4:$A$103,0)))&gt;0,ROUND($I662/INDEX('Cars'!$J$4:$J$103,MATCH($A662,'Cars'!$A$4:$A$103,0))*30,0),""),""))</f>
        <v/>
      </c>
      <c r="L662" s="21">
        <f>IF(AND($J662="",$K662=""),"",MIN(IF($J662="",99999,$J662),IF($K662="",99999,$K662)))</f>
        <v/>
      </c>
      <c r="M662" s="16">
        <f>IF(AND($I662="",$J662=""),"",IF(OR(AND($I662&lt;&gt;"",N($I662)&lt;0),AND($J662&lt;&gt;"",N($J662)&lt;0)),"Overdue",IF(OR(AND($I662&lt;&gt;"",N($I662)&lt;=IFERROR(INDEX('Intervals'!$E$4:$E$33,MATCH($B662,'Intervals'!$A$4:$A$33,0)),500)),AND($J662&lt;&gt;"",N($J662)&lt;=IFERROR(INDEX('Intervals'!$F$4:$F$33,MATCH($B662,'Intervals'!$A$4:$A$33,0)),14))),"Due soon","OK")))</f>
        <v/>
      </c>
      <c r="N662" s="15" t="n"/>
      <c r="O662" s="22">
        <f>IF(OR($M662="",$M662="OK"),"",$L662+ROW()/100000)</f>
        <v/>
      </c>
    </row>
    <row r="663">
      <c r="A663" s="15" t="n"/>
      <c r="B663" s="15" t="n"/>
      <c r="C663" s="16">
        <f>IF($B663="","",IFERROR(INDEX('Intervals'!$B$4:$B$33,MATCH($B663,'Intervals'!$A$4:$A$33,0)),""))</f>
        <v/>
      </c>
      <c r="D663" s="17" t="n"/>
      <c r="E663" s="18" t="n"/>
      <c r="F663" s="19">
        <f>IF(OR($B663="",$E663=""),"",IFERROR(IF(AND(INDEX('Intervals'!$G$4:$G$33,MATCH($B663,'Intervals'!$A$4:$A$33,0))&lt;&gt;"No",N(INDEX('Intervals'!$C$4:$C$33,MATCH($B663,'Intervals'!$A$4:$A$33,0)))&gt;0),$E663+N(INDEX('Intervals'!$C$4:$C$33,MATCH($B663,'Intervals'!$A$4:$A$33,0))),""),""))</f>
        <v/>
      </c>
      <c r="G663" s="20">
        <f>IF(OR($B663="",$D663=""),"",IFERROR(IF(AND(INDEX('Intervals'!$G$4:$G$33,MATCH($B663,'Intervals'!$A$4:$A$33,0))&lt;&gt;"No",N(INDEX('Intervals'!$D$4:$D$33,MATCH($B663,'Intervals'!$A$4:$A$33,0)))&gt;0),EDATE($D663,N(INDEX('Intervals'!$D$4:$D$33,MATCH($B663,'Intervals'!$A$4:$A$33,0)))),""),""))</f>
        <v/>
      </c>
      <c r="H663" s="19">
        <f>IF($A663="","",IFERROR(IF(N(INDEX('Cars'!$H$4:$H$103,MATCH($A663,'Cars'!$A$4:$A$103,0)))&gt;0,INDEX('Cars'!$H$4:$H$103,MATCH($A663,'Cars'!$A$4:$A$103,0)),""),""))</f>
        <v/>
      </c>
      <c r="I663" s="19">
        <f>IF(OR($F663="",$H663=""),"",$F663-$H663)</f>
        <v/>
      </c>
      <c r="J663" s="21">
        <f>IF($G663="","",$G663-TODAY())</f>
        <v/>
      </c>
      <c r="K663" s="21">
        <f>IF($I663="","",IFERROR(IF(N(INDEX('Cars'!$J$4:$J$103,MATCH($A663,'Cars'!$A$4:$A$103,0)))&gt;0,ROUND($I663/INDEX('Cars'!$J$4:$J$103,MATCH($A663,'Cars'!$A$4:$A$103,0))*30,0),""),""))</f>
        <v/>
      </c>
      <c r="L663" s="21">
        <f>IF(AND($J663="",$K663=""),"",MIN(IF($J663="",99999,$J663),IF($K663="",99999,$K663)))</f>
        <v/>
      </c>
      <c r="M663" s="16">
        <f>IF(AND($I663="",$J663=""),"",IF(OR(AND($I663&lt;&gt;"",N($I663)&lt;0),AND($J663&lt;&gt;"",N($J663)&lt;0)),"Overdue",IF(OR(AND($I663&lt;&gt;"",N($I663)&lt;=IFERROR(INDEX('Intervals'!$E$4:$E$33,MATCH($B663,'Intervals'!$A$4:$A$33,0)),500)),AND($J663&lt;&gt;"",N($J663)&lt;=IFERROR(INDEX('Intervals'!$F$4:$F$33,MATCH($B663,'Intervals'!$A$4:$A$33,0)),14))),"Due soon","OK")))</f>
        <v/>
      </c>
      <c r="N663" s="15" t="n"/>
      <c r="O663" s="22">
        <f>IF(OR($M663="",$M663="OK"),"",$L663+ROW()/100000)</f>
        <v/>
      </c>
    </row>
    <row r="664">
      <c r="A664" s="15" t="n"/>
      <c r="B664" s="15" t="n"/>
      <c r="C664" s="16">
        <f>IF($B664="","",IFERROR(INDEX('Intervals'!$B$4:$B$33,MATCH($B664,'Intervals'!$A$4:$A$33,0)),""))</f>
        <v/>
      </c>
      <c r="D664" s="17" t="n"/>
      <c r="E664" s="18" t="n"/>
      <c r="F664" s="19">
        <f>IF(OR($B664="",$E664=""),"",IFERROR(IF(AND(INDEX('Intervals'!$G$4:$G$33,MATCH($B664,'Intervals'!$A$4:$A$33,0))&lt;&gt;"No",N(INDEX('Intervals'!$C$4:$C$33,MATCH($B664,'Intervals'!$A$4:$A$33,0)))&gt;0),$E664+N(INDEX('Intervals'!$C$4:$C$33,MATCH($B664,'Intervals'!$A$4:$A$33,0))),""),""))</f>
        <v/>
      </c>
      <c r="G664" s="20">
        <f>IF(OR($B664="",$D664=""),"",IFERROR(IF(AND(INDEX('Intervals'!$G$4:$G$33,MATCH($B664,'Intervals'!$A$4:$A$33,0))&lt;&gt;"No",N(INDEX('Intervals'!$D$4:$D$33,MATCH($B664,'Intervals'!$A$4:$A$33,0)))&gt;0),EDATE($D664,N(INDEX('Intervals'!$D$4:$D$33,MATCH($B664,'Intervals'!$A$4:$A$33,0)))),""),""))</f>
        <v/>
      </c>
      <c r="H664" s="19">
        <f>IF($A664="","",IFERROR(IF(N(INDEX('Cars'!$H$4:$H$103,MATCH($A664,'Cars'!$A$4:$A$103,0)))&gt;0,INDEX('Cars'!$H$4:$H$103,MATCH($A664,'Cars'!$A$4:$A$103,0)),""),""))</f>
        <v/>
      </c>
      <c r="I664" s="19">
        <f>IF(OR($F664="",$H664=""),"",$F664-$H664)</f>
        <v/>
      </c>
      <c r="J664" s="21">
        <f>IF($G664="","",$G664-TODAY())</f>
        <v/>
      </c>
      <c r="K664" s="21">
        <f>IF($I664="","",IFERROR(IF(N(INDEX('Cars'!$J$4:$J$103,MATCH($A664,'Cars'!$A$4:$A$103,0)))&gt;0,ROUND($I664/INDEX('Cars'!$J$4:$J$103,MATCH($A664,'Cars'!$A$4:$A$103,0))*30,0),""),""))</f>
        <v/>
      </c>
      <c r="L664" s="21">
        <f>IF(AND($J664="",$K664=""),"",MIN(IF($J664="",99999,$J664),IF($K664="",99999,$K664)))</f>
        <v/>
      </c>
      <c r="M664" s="16">
        <f>IF(AND($I664="",$J664=""),"",IF(OR(AND($I664&lt;&gt;"",N($I664)&lt;0),AND($J664&lt;&gt;"",N($J664)&lt;0)),"Overdue",IF(OR(AND($I664&lt;&gt;"",N($I664)&lt;=IFERROR(INDEX('Intervals'!$E$4:$E$33,MATCH($B664,'Intervals'!$A$4:$A$33,0)),500)),AND($J664&lt;&gt;"",N($J664)&lt;=IFERROR(INDEX('Intervals'!$F$4:$F$33,MATCH($B664,'Intervals'!$A$4:$A$33,0)),14))),"Due soon","OK")))</f>
        <v/>
      </c>
      <c r="N664" s="15" t="n"/>
      <c r="O664" s="22">
        <f>IF(OR($M664="",$M664="OK"),"",$L664+ROW()/100000)</f>
        <v/>
      </c>
    </row>
    <row r="665">
      <c r="A665" s="15" t="n"/>
      <c r="B665" s="15" t="n"/>
      <c r="C665" s="16">
        <f>IF($B665="","",IFERROR(INDEX('Intervals'!$B$4:$B$33,MATCH($B665,'Intervals'!$A$4:$A$33,0)),""))</f>
        <v/>
      </c>
      <c r="D665" s="17" t="n"/>
      <c r="E665" s="18" t="n"/>
      <c r="F665" s="19">
        <f>IF(OR($B665="",$E665=""),"",IFERROR(IF(AND(INDEX('Intervals'!$G$4:$G$33,MATCH($B665,'Intervals'!$A$4:$A$33,0))&lt;&gt;"No",N(INDEX('Intervals'!$C$4:$C$33,MATCH($B665,'Intervals'!$A$4:$A$33,0)))&gt;0),$E665+N(INDEX('Intervals'!$C$4:$C$33,MATCH($B665,'Intervals'!$A$4:$A$33,0))),""),""))</f>
        <v/>
      </c>
      <c r="G665" s="20">
        <f>IF(OR($B665="",$D665=""),"",IFERROR(IF(AND(INDEX('Intervals'!$G$4:$G$33,MATCH($B665,'Intervals'!$A$4:$A$33,0))&lt;&gt;"No",N(INDEX('Intervals'!$D$4:$D$33,MATCH($B665,'Intervals'!$A$4:$A$33,0)))&gt;0),EDATE($D665,N(INDEX('Intervals'!$D$4:$D$33,MATCH($B665,'Intervals'!$A$4:$A$33,0)))),""),""))</f>
        <v/>
      </c>
      <c r="H665" s="19">
        <f>IF($A665="","",IFERROR(IF(N(INDEX('Cars'!$H$4:$H$103,MATCH($A665,'Cars'!$A$4:$A$103,0)))&gt;0,INDEX('Cars'!$H$4:$H$103,MATCH($A665,'Cars'!$A$4:$A$103,0)),""),""))</f>
        <v/>
      </c>
      <c r="I665" s="19">
        <f>IF(OR($F665="",$H665=""),"",$F665-$H665)</f>
        <v/>
      </c>
      <c r="J665" s="21">
        <f>IF($G665="","",$G665-TODAY())</f>
        <v/>
      </c>
      <c r="K665" s="21">
        <f>IF($I665="","",IFERROR(IF(N(INDEX('Cars'!$J$4:$J$103,MATCH($A665,'Cars'!$A$4:$A$103,0)))&gt;0,ROUND($I665/INDEX('Cars'!$J$4:$J$103,MATCH($A665,'Cars'!$A$4:$A$103,0))*30,0),""),""))</f>
        <v/>
      </c>
      <c r="L665" s="21">
        <f>IF(AND($J665="",$K665=""),"",MIN(IF($J665="",99999,$J665),IF($K665="",99999,$K665)))</f>
        <v/>
      </c>
      <c r="M665" s="16">
        <f>IF(AND($I665="",$J665=""),"",IF(OR(AND($I665&lt;&gt;"",N($I665)&lt;0),AND($J665&lt;&gt;"",N($J665)&lt;0)),"Overdue",IF(OR(AND($I665&lt;&gt;"",N($I665)&lt;=IFERROR(INDEX('Intervals'!$E$4:$E$33,MATCH($B665,'Intervals'!$A$4:$A$33,0)),500)),AND($J665&lt;&gt;"",N($J665)&lt;=IFERROR(INDEX('Intervals'!$F$4:$F$33,MATCH($B665,'Intervals'!$A$4:$A$33,0)),14))),"Due soon","OK")))</f>
        <v/>
      </c>
      <c r="N665" s="15" t="n"/>
      <c r="O665" s="22">
        <f>IF(OR($M665="",$M665="OK"),"",$L665+ROW()/100000)</f>
        <v/>
      </c>
    </row>
    <row r="666">
      <c r="A666" s="15" t="n"/>
      <c r="B666" s="15" t="n"/>
      <c r="C666" s="16">
        <f>IF($B666="","",IFERROR(INDEX('Intervals'!$B$4:$B$33,MATCH($B666,'Intervals'!$A$4:$A$33,0)),""))</f>
        <v/>
      </c>
      <c r="D666" s="17" t="n"/>
      <c r="E666" s="18" t="n"/>
      <c r="F666" s="19">
        <f>IF(OR($B666="",$E666=""),"",IFERROR(IF(AND(INDEX('Intervals'!$G$4:$G$33,MATCH($B666,'Intervals'!$A$4:$A$33,0))&lt;&gt;"No",N(INDEX('Intervals'!$C$4:$C$33,MATCH($B666,'Intervals'!$A$4:$A$33,0)))&gt;0),$E666+N(INDEX('Intervals'!$C$4:$C$33,MATCH($B666,'Intervals'!$A$4:$A$33,0))),""),""))</f>
        <v/>
      </c>
      <c r="G666" s="20">
        <f>IF(OR($B666="",$D666=""),"",IFERROR(IF(AND(INDEX('Intervals'!$G$4:$G$33,MATCH($B666,'Intervals'!$A$4:$A$33,0))&lt;&gt;"No",N(INDEX('Intervals'!$D$4:$D$33,MATCH($B666,'Intervals'!$A$4:$A$33,0)))&gt;0),EDATE($D666,N(INDEX('Intervals'!$D$4:$D$33,MATCH($B666,'Intervals'!$A$4:$A$33,0)))),""),""))</f>
        <v/>
      </c>
      <c r="H666" s="19">
        <f>IF($A666="","",IFERROR(IF(N(INDEX('Cars'!$H$4:$H$103,MATCH($A666,'Cars'!$A$4:$A$103,0)))&gt;0,INDEX('Cars'!$H$4:$H$103,MATCH($A666,'Cars'!$A$4:$A$103,0)),""),""))</f>
        <v/>
      </c>
      <c r="I666" s="19">
        <f>IF(OR($F666="",$H666=""),"",$F666-$H666)</f>
        <v/>
      </c>
      <c r="J666" s="21">
        <f>IF($G666="","",$G666-TODAY())</f>
        <v/>
      </c>
      <c r="K666" s="21">
        <f>IF($I666="","",IFERROR(IF(N(INDEX('Cars'!$J$4:$J$103,MATCH($A666,'Cars'!$A$4:$A$103,0)))&gt;0,ROUND($I666/INDEX('Cars'!$J$4:$J$103,MATCH($A666,'Cars'!$A$4:$A$103,0))*30,0),""),""))</f>
        <v/>
      </c>
      <c r="L666" s="21">
        <f>IF(AND($J666="",$K666=""),"",MIN(IF($J666="",99999,$J666),IF($K666="",99999,$K666)))</f>
        <v/>
      </c>
      <c r="M666" s="16">
        <f>IF(AND($I666="",$J666=""),"",IF(OR(AND($I666&lt;&gt;"",N($I666)&lt;0),AND($J666&lt;&gt;"",N($J666)&lt;0)),"Overdue",IF(OR(AND($I666&lt;&gt;"",N($I666)&lt;=IFERROR(INDEX('Intervals'!$E$4:$E$33,MATCH($B666,'Intervals'!$A$4:$A$33,0)),500)),AND($J666&lt;&gt;"",N($J666)&lt;=IFERROR(INDEX('Intervals'!$F$4:$F$33,MATCH($B666,'Intervals'!$A$4:$A$33,0)),14))),"Due soon","OK")))</f>
        <v/>
      </c>
      <c r="N666" s="15" t="n"/>
      <c r="O666" s="22">
        <f>IF(OR($M666="",$M666="OK"),"",$L666+ROW()/100000)</f>
        <v/>
      </c>
    </row>
    <row r="667">
      <c r="A667" s="15" t="n"/>
      <c r="B667" s="15" t="n"/>
      <c r="C667" s="16">
        <f>IF($B667="","",IFERROR(INDEX('Intervals'!$B$4:$B$33,MATCH($B667,'Intervals'!$A$4:$A$33,0)),""))</f>
        <v/>
      </c>
      <c r="D667" s="17" t="n"/>
      <c r="E667" s="18" t="n"/>
      <c r="F667" s="19">
        <f>IF(OR($B667="",$E667=""),"",IFERROR(IF(AND(INDEX('Intervals'!$G$4:$G$33,MATCH($B667,'Intervals'!$A$4:$A$33,0))&lt;&gt;"No",N(INDEX('Intervals'!$C$4:$C$33,MATCH($B667,'Intervals'!$A$4:$A$33,0)))&gt;0),$E667+N(INDEX('Intervals'!$C$4:$C$33,MATCH($B667,'Intervals'!$A$4:$A$33,0))),""),""))</f>
        <v/>
      </c>
      <c r="G667" s="20">
        <f>IF(OR($B667="",$D667=""),"",IFERROR(IF(AND(INDEX('Intervals'!$G$4:$G$33,MATCH($B667,'Intervals'!$A$4:$A$33,0))&lt;&gt;"No",N(INDEX('Intervals'!$D$4:$D$33,MATCH($B667,'Intervals'!$A$4:$A$33,0)))&gt;0),EDATE($D667,N(INDEX('Intervals'!$D$4:$D$33,MATCH($B667,'Intervals'!$A$4:$A$33,0)))),""),""))</f>
        <v/>
      </c>
      <c r="H667" s="19">
        <f>IF($A667="","",IFERROR(IF(N(INDEX('Cars'!$H$4:$H$103,MATCH($A667,'Cars'!$A$4:$A$103,0)))&gt;0,INDEX('Cars'!$H$4:$H$103,MATCH($A667,'Cars'!$A$4:$A$103,0)),""),""))</f>
        <v/>
      </c>
      <c r="I667" s="19">
        <f>IF(OR($F667="",$H667=""),"",$F667-$H667)</f>
        <v/>
      </c>
      <c r="J667" s="21">
        <f>IF($G667="","",$G667-TODAY())</f>
        <v/>
      </c>
      <c r="K667" s="21">
        <f>IF($I667="","",IFERROR(IF(N(INDEX('Cars'!$J$4:$J$103,MATCH($A667,'Cars'!$A$4:$A$103,0)))&gt;0,ROUND($I667/INDEX('Cars'!$J$4:$J$103,MATCH($A667,'Cars'!$A$4:$A$103,0))*30,0),""),""))</f>
        <v/>
      </c>
      <c r="L667" s="21">
        <f>IF(AND($J667="",$K667=""),"",MIN(IF($J667="",99999,$J667),IF($K667="",99999,$K667)))</f>
        <v/>
      </c>
      <c r="M667" s="16">
        <f>IF(AND($I667="",$J667=""),"",IF(OR(AND($I667&lt;&gt;"",N($I667)&lt;0),AND($J667&lt;&gt;"",N($J667)&lt;0)),"Overdue",IF(OR(AND($I667&lt;&gt;"",N($I667)&lt;=IFERROR(INDEX('Intervals'!$E$4:$E$33,MATCH($B667,'Intervals'!$A$4:$A$33,0)),500)),AND($J667&lt;&gt;"",N($J667)&lt;=IFERROR(INDEX('Intervals'!$F$4:$F$33,MATCH($B667,'Intervals'!$A$4:$A$33,0)),14))),"Due soon","OK")))</f>
        <v/>
      </c>
      <c r="N667" s="15" t="n"/>
      <c r="O667" s="22">
        <f>IF(OR($M667="",$M667="OK"),"",$L667+ROW()/100000)</f>
        <v/>
      </c>
    </row>
    <row r="668">
      <c r="A668" s="15" t="n"/>
      <c r="B668" s="15" t="n"/>
      <c r="C668" s="16">
        <f>IF($B668="","",IFERROR(INDEX('Intervals'!$B$4:$B$33,MATCH($B668,'Intervals'!$A$4:$A$33,0)),""))</f>
        <v/>
      </c>
      <c r="D668" s="17" t="n"/>
      <c r="E668" s="18" t="n"/>
      <c r="F668" s="19">
        <f>IF(OR($B668="",$E668=""),"",IFERROR(IF(AND(INDEX('Intervals'!$G$4:$G$33,MATCH($B668,'Intervals'!$A$4:$A$33,0))&lt;&gt;"No",N(INDEX('Intervals'!$C$4:$C$33,MATCH($B668,'Intervals'!$A$4:$A$33,0)))&gt;0),$E668+N(INDEX('Intervals'!$C$4:$C$33,MATCH($B668,'Intervals'!$A$4:$A$33,0))),""),""))</f>
        <v/>
      </c>
      <c r="G668" s="20">
        <f>IF(OR($B668="",$D668=""),"",IFERROR(IF(AND(INDEX('Intervals'!$G$4:$G$33,MATCH($B668,'Intervals'!$A$4:$A$33,0))&lt;&gt;"No",N(INDEX('Intervals'!$D$4:$D$33,MATCH($B668,'Intervals'!$A$4:$A$33,0)))&gt;0),EDATE($D668,N(INDEX('Intervals'!$D$4:$D$33,MATCH($B668,'Intervals'!$A$4:$A$33,0)))),""),""))</f>
        <v/>
      </c>
      <c r="H668" s="19">
        <f>IF($A668="","",IFERROR(IF(N(INDEX('Cars'!$H$4:$H$103,MATCH($A668,'Cars'!$A$4:$A$103,0)))&gt;0,INDEX('Cars'!$H$4:$H$103,MATCH($A668,'Cars'!$A$4:$A$103,0)),""),""))</f>
        <v/>
      </c>
      <c r="I668" s="19">
        <f>IF(OR($F668="",$H668=""),"",$F668-$H668)</f>
        <v/>
      </c>
      <c r="J668" s="21">
        <f>IF($G668="","",$G668-TODAY())</f>
        <v/>
      </c>
      <c r="K668" s="21">
        <f>IF($I668="","",IFERROR(IF(N(INDEX('Cars'!$J$4:$J$103,MATCH($A668,'Cars'!$A$4:$A$103,0)))&gt;0,ROUND($I668/INDEX('Cars'!$J$4:$J$103,MATCH($A668,'Cars'!$A$4:$A$103,0))*30,0),""),""))</f>
        <v/>
      </c>
      <c r="L668" s="21">
        <f>IF(AND($J668="",$K668=""),"",MIN(IF($J668="",99999,$J668),IF($K668="",99999,$K668)))</f>
        <v/>
      </c>
      <c r="M668" s="16">
        <f>IF(AND($I668="",$J668=""),"",IF(OR(AND($I668&lt;&gt;"",N($I668)&lt;0),AND($J668&lt;&gt;"",N($J668)&lt;0)),"Overdue",IF(OR(AND($I668&lt;&gt;"",N($I668)&lt;=IFERROR(INDEX('Intervals'!$E$4:$E$33,MATCH($B668,'Intervals'!$A$4:$A$33,0)),500)),AND($J668&lt;&gt;"",N($J668)&lt;=IFERROR(INDEX('Intervals'!$F$4:$F$33,MATCH($B668,'Intervals'!$A$4:$A$33,0)),14))),"Due soon","OK")))</f>
        <v/>
      </c>
      <c r="N668" s="15" t="n"/>
      <c r="O668" s="22">
        <f>IF(OR($M668="",$M668="OK"),"",$L668+ROW()/100000)</f>
        <v/>
      </c>
    </row>
    <row r="669">
      <c r="A669" s="15" t="n"/>
      <c r="B669" s="15" t="n"/>
      <c r="C669" s="16">
        <f>IF($B669="","",IFERROR(INDEX('Intervals'!$B$4:$B$33,MATCH($B669,'Intervals'!$A$4:$A$33,0)),""))</f>
        <v/>
      </c>
      <c r="D669" s="17" t="n"/>
      <c r="E669" s="18" t="n"/>
      <c r="F669" s="19">
        <f>IF(OR($B669="",$E669=""),"",IFERROR(IF(AND(INDEX('Intervals'!$G$4:$G$33,MATCH($B669,'Intervals'!$A$4:$A$33,0))&lt;&gt;"No",N(INDEX('Intervals'!$C$4:$C$33,MATCH($B669,'Intervals'!$A$4:$A$33,0)))&gt;0),$E669+N(INDEX('Intervals'!$C$4:$C$33,MATCH($B669,'Intervals'!$A$4:$A$33,0))),""),""))</f>
        <v/>
      </c>
      <c r="G669" s="20">
        <f>IF(OR($B669="",$D669=""),"",IFERROR(IF(AND(INDEX('Intervals'!$G$4:$G$33,MATCH($B669,'Intervals'!$A$4:$A$33,0))&lt;&gt;"No",N(INDEX('Intervals'!$D$4:$D$33,MATCH($B669,'Intervals'!$A$4:$A$33,0)))&gt;0),EDATE($D669,N(INDEX('Intervals'!$D$4:$D$33,MATCH($B669,'Intervals'!$A$4:$A$33,0)))),""),""))</f>
        <v/>
      </c>
      <c r="H669" s="19">
        <f>IF($A669="","",IFERROR(IF(N(INDEX('Cars'!$H$4:$H$103,MATCH($A669,'Cars'!$A$4:$A$103,0)))&gt;0,INDEX('Cars'!$H$4:$H$103,MATCH($A669,'Cars'!$A$4:$A$103,0)),""),""))</f>
        <v/>
      </c>
      <c r="I669" s="19">
        <f>IF(OR($F669="",$H669=""),"",$F669-$H669)</f>
        <v/>
      </c>
      <c r="J669" s="21">
        <f>IF($G669="","",$G669-TODAY())</f>
        <v/>
      </c>
      <c r="K669" s="21">
        <f>IF($I669="","",IFERROR(IF(N(INDEX('Cars'!$J$4:$J$103,MATCH($A669,'Cars'!$A$4:$A$103,0)))&gt;0,ROUND($I669/INDEX('Cars'!$J$4:$J$103,MATCH($A669,'Cars'!$A$4:$A$103,0))*30,0),""),""))</f>
        <v/>
      </c>
      <c r="L669" s="21">
        <f>IF(AND($J669="",$K669=""),"",MIN(IF($J669="",99999,$J669),IF($K669="",99999,$K669)))</f>
        <v/>
      </c>
      <c r="M669" s="16">
        <f>IF(AND($I669="",$J669=""),"",IF(OR(AND($I669&lt;&gt;"",N($I669)&lt;0),AND($J669&lt;&gt;"",N($J669)&lt;0)),"Overdue",IF(OR(AND($I669&lt;&gt;"",N($I669)&lt;=IFERROR(INDEX('Intervals'!$E$4:$E$33,MATCH($B669,'Intervals'!$A$4:$A$33,0)),500)),AND($J669&lt;&gt;"",N($J669)&lt;=IFERROR(INDEX('Intervals'!$F$4:$F$33,MATCH($B669,'Intervals'!$A$4:$A$33,0)),14))),"Due soon","OK")))</f>
        <v/>
      </c>
      <c r="N669" s="15" t="n"/>
      <c r="O669" s="22">
        <f>IF(OR($M669="",$M669="OK"),"",$L669+ROW()/100000)</f>
        <v/>
      </c>
    </row>
    <row r="670">
      <c r="A670" s="15" t="n"/>
      <c r="B670" s="15" t="n"/>
      <c r="C670" s="16">
        <f>IF($B670="","",IFERROR(INDEX('Intervals'!$B$4:$B$33,MATCH($B670,'Intervals'!$A$4:$A$33,0)),""))</f>
        <v/>
      </c>
      <c r="D670" s="17" t="n"/>
      <c r="E670" s="18" t="n"/>
      <c r="F670" s="19">
        <f>IF(OR($B670="",$E670=""),"",IFERROR(IF(AND(INDEX('Intervals'!$G$4:$G$33,MATCH($B670,'Intervals'!$A$4:$A$33,0))&lt;&gt;"No",N(INDEX('Intervals'!$C$4:$C$33,MATCH($B670,'Intervals'!$A$4:$A$33,0)))&gt;0),$E670+N(INDEX('Intervals'!$C$4:$C$33,MATCH($B670,'Intervals'!$A$4:$A$33,0))),""),""))</f>
        <v/>
      </c>
      <c r="G670" s="20">
        <f>IF(OR($B670="",$D670=""),"",IFERROR(IF(AND(INDEX('Intervals'!$G$4:$G$33,MATCH($B670,'Intervals'!$A$4:$A$33,0))&lt;&gt;"No",N(INDEX('Intervals'!$D$4:$D$33,MATCH($B670,'Intervals'!$A$4:$A$33,0)))&gt;0),EDATE($D670,N(INDEX('Intervals'!$D$4:$D$33,MATCH($B670,'Intervals'!$A$4:$A$33,0)))),""),""))</f>
        <v/>
      </c>
      <c r="H670" s="19">
        <f>IF($A670="","",IFERROR(IF(N(INDEX('Cars'!$H$4:$H$103,MATCH($A670,'Cars'!$A$4:$A$103,0)))&gt;0,INDEX('Cars'!$H$4:$H$103,MATCH($A670,'Cars'!$A$4:$A$103,0)),""),""))</f>
        <v/>
      </c>
      <c r="I670" s="19">
        <f>IF(OR($F670="",$H670=""),"",$F670-$H670)</f>
        <v/>
      </c>
      <c r="J670" s="21">
        <f>IF($G670="","",$G670-TODAY())</f>
        <v/>
      </c>
      <c r="K670" s="21">
        <f>IF($I670="","",IFERROR(IF(N(INDEX('Cars'!$J$4:$J$103,MATCH($A670,'Cars'!$A$4:$A$103,0)))&gt;0,ROUND($I670/INDEX('Cars'!$J$4:$J$103,MATCH($A670,'Cars'!$A$4:$A$103,0))*30,0),""),""))</f>
        <v/>
      </c>
      <c r="L670" s="21">
        <f>IF(AND($J670="",$K670=""),"",MIN(IF($J670="",99999,$J670),IF($K670="",99999,$K670)))</f>
        <v/>
      </c>
      <c r="M670" s="16">
        <f>IF(AND($I670="",$J670=""),"",IF(OR(AND($I670&lt;&gt;"",N($I670)&lt;0),AND($J670&lt;&gt;"",N($J670)&lt;0)),"Overdue",IF(OR(AND($I670&lt;&gt;"",N($I670)&lt;=IFERROR(INDEX('Intervals'!$E$4:$E$33,MATCH($B670,'Intervals'!$A$4:$A$33,0)),500)),AND($J670&lt;&gt;"",N($J670)&lt;=IFERROR(INDEX('Intervals'!$F$4:$F$33,MATCH($B670,'Intervals'!$A$4:$A$33,0)),14))),"Due soon","OK")))</f>
        <v/>
      </c>
      <c r="N670" s="15" t="n"/>
      <c r="O670" s="22">
        <f>IF(OR($M670="",$M670="OK"),"",$L670+ROW()/100000)</f>
        <v/>
      </c>
    </row>
    <row r="671">
      <c r="A671" s="15" t="n"/>
      <c r="B671" s="15" t="n"/>
      <c r="C671" s="16">
        <f>IF($B671="","",IFERROR(INDEX('Intervals'!$B$4:$B$33,MATCH($B671,'Intervals'!$A$4:$A$33,0)),""))</f>
        <v/>
      </c>
      <c r="D671" s="17" t="n"/>
      <c r="E671" s="18" t="n"/>
      <c r="F671" s="19">
        <f>IF(OR($B671="",$E671=""),"",IFERROR(IF(AND(INDEX('Intervals'!$G$4:$G$33,MATCH($B671,'Intervals'!$A$4:$A$33,0))&lt;&gt;"No",N(INDEX('Intervals'!$C$4:$C$33,MATCH($B671,'Intervals'!$A$4:$A$33,0)))&gt;0),$E671+N(INDEX('Intervals'!$C$4:$C$33,MATCH($B671,'Intervals'!$A$4:$A$33,0))),""),""))</f>
        <v/>
      </c>
      <c r="G671" s="20">
        <f>IF(OR($B671="",$D671=""),"",IFERROR(IF(AND(INDEX('Intervals'!$G$4:$G$33,MATCH($B671,'Intervals'!$A$4:$A$33,0))&lt;&gt;"No",N(INDEX('Intervals'!$D$4:$D$33,MATCH($B671,'Intervals'!$A$4:$A$33,0)))&gt;0),EDATE($D671,N(INDEX('Intervals'!$D$4:$D$33,MATCH($B671,'Intervals'!$A$4:$A$33,0)))),""),""))</f>
        <v/>
      </c>
      <c r="H671" s="19">
        <f>IF($A671="","",IFERROR(IF(N(INDEX('Cars'!$H$4:$H$103,MATCH($A671,'Cars'!$A$4:$A$103,0)))&gt;0,INDEX('Cars'!$H$4:$H$103,MATCH($A671,'Cars'!$A$4:$A$103,0)),""),""))</f>
        <v/>
      </c>
      <c r="I671" s="19">
        <f>IF(OR($F671="",$H671=""),"",$F671-$H671)</f>
        <v/>
      </c>
      <c r="J671" s="21">
        <f>IF($G671="","",$G671-TODAY())</f>
        <v/>
      </c>
      <c r="K671" s="21">
        <f>IF($I671="","",IFERROR(IF(N(INDEX('Cars'!$J$4:$J$103,MATCH($A671,'Cars'!$A$4:$A$103,0)))&gt;0,ROUND($I671/INDEX('Cars'!$J$4:$J$103,MATCH($A671,'Cars'!$A$4:$A$103,0))*30,0),""),""))</f>
        <v/>
      </c>
      <c r="L671" s="21">
        <f>IF(AND($J671="",$K671=""),"",MIN(IF($J671="",99999,$J671),IF($K671="",99999,$K671)))</f>
        <v/>
      </c>
      <c r="M671" s="16">
        <f>IF(AND($I671="",$J671=""),"",IF(OR(AND($I671&lt;&gt;"",N($I671)&lt;0),AND($J671&lt;&gt;"",N($J671)&lt;0)),"Overdue",IF(OR(AND($I671&lt;&gt;"",N($I671)&lt;=IFERROR(INDEX('Intervals'!$E$4:$E$33,MATCH($B671,'Intervals'!$A$4:$A$33,0)),500)),AND($J671&lt;&gt;"",N($J671)&lt;=IFERROR(INDEX('Intervals'!$F$4:$F$33,MATCH($B671,'Intervals'!$A$4:$A$33,0)),14))),"Due soon","OK")))</f>
        <v/>
      </c>
      <c r="N671" s="15" t="n"/>
      <c r="O671" s="22">
        <f>IF(OR($M671="",$M671="OK"),"",$L671+ROW()/100000)</f>
        <v/>
      </c>
    </row>
    <row r="672">
      <c r="A672" s="15" t="n"/>
      <c r="B672" s="15" t="n"/>
      <c r="C672" s="16">
        <f>IF($B672="","",IFERROR(INDEX('Intervals'!$B$4:$B$33,MATCH($B672,'Intervals'!$A$4:$A$33,0)),""))</f>
        <v/>
      </c>
      <c r="D672" s="17" t="n"/>
      <c r="E672" s="18" t="n"/>
      <c r="F672" s="19">
        <f>IF(OR($B672="",$E672=""),"",IFERROR(IF(AND(INDEX('Intervals'!$G$4:$G$33,MATCH($B672,'Intervals'!$A$4:$A$33,0))&lt;&gt;"No",N(INDEX('Intervals'!$C$4:$C$33,MATCH($B672,'Intervals'!$A$4:$A$33,0)))&gt;0),$E672+N(INDEX('Intervals'!$C$4:$C$33,MATCH($B672,'Intervals'!$A$4:$A$33,0))),""),""))</f>
        <v/>
      </c>
      <c r="G672" s="20">
        <f>IF(OR($B672="",$D672=""),"",IFERROR(IF(AND(INDEX('Intervals'!$G$4:$G$33,MATCH($B672,'Intervals'!$A$4:$A$33,0))&lt;&gt;"No",N(INDEX('Intervals'!$D$4:$D$33,MATCH($B672,'Intervals'!$A$4:$A$33,0)))&gt;0),EDATE($D672,N(INDEX('Intervals'!$D$4:$D$33,MATCH($B672,'Intervals'!$A$4:$A$33,0)))),""),""))</f>
        <v/>
      </c>
      <c r="H672" s="19">
        <f>IF($A672="","",IFERROR(IF(N(INDEX('Cars'!$H$4:$H$103,MATCH($A672,'Cars'!$A$4:$A$103,0)))&gt;0,INDEX('Cars'!$H$4:$H$103,MATCH($A672,'Cars'!$A$4:$A$103,0)),""),""))</f>
        <v/>
      </c>
      <c r="I672" s="19">
        <f>IF(OR($F672="",$H672=""),"",$F672-$H672)</f>
        <v/>
      </c>
      <c r="J672" s="21">
        <f>IF($G672="","",$G672-TODAY())</f>
        <v/>
      </c>
      <c r="K672" s="21">
        <f>IF($I672="","",IFERROR(IF(N(INDEX('Cars'!$J$4:$J$103,MATCH($A672,'Cars'!$A$4:$A$103,0)))&gt;0,ROUND($I672/INDEX('Cars'!$J$4:$J$103,MATCH($A672,'Cars'!$A$4:$A$103,0))*30,0),""),""))</f>
        <v/>
      </c>
      <c r="L672" s="21">
        <f>IF(AND($J672="",$K672=""),"",MIN(IF($J672="",99999,$J672),IF($K672="",99999,$K672)))</f>
        <v/>
      </c>
      <c r="M672" s="16">
        <f>IF(AND($I672="",$J672=""),"",IF(OR(AND($I672&lt;&gt;"",N($I672)&lt;0),AND($J672&lt;&gt;"",N($J672)&lt;0)),"Overdue",IF(OR(AND($I672&lt;&gt;"",N($I672)&lt;=IFERROR(INDEX('Intervals'!$E$4:$E$33,MATCH($B672,'Intervals'!$A$4:$A$33,0)),500)),AND($J672&lt;&gt;"",N($J672)&lt;=IFERROR(INDEX('Intervals'!$F$4:$F$33,MATCH($B672,'Intervals'!$A$4:$A$33,0)),14))),"Due soon","OK")))</f>
        <v/>
      </c>
      <c r="N672" s="15" t="n"/>
      <c r="O672" s="22">
        <f>IF(OR($M672="",$M672="OK"),"",$L672+ROW()/100000)</f>
        <v/>
      </c>
    </row>
    <row r="673">
      <c r="A673" s="15" t="n"/>
      <c r="B673" s="15" t="n"/>
      <c r="C673" s="16">
        <f>IF($B673="","",IFERROR(INDEX('Intervals'!$B$4:$B$33,MATCH($B673,'Intervals'!$A$4:$A$33,0)),""))</f>
        <v/>
      </c>
      <c r="D673" s="17" t="n"/>
      <c r="E673" s="18" t="n"/>
      <c r="F673" s="19">
        <f>IF(OR($B673="",$E673=""),"",IFERROR(IF(AND(INDEX('Intervals'!$G$4:$G$33,MATCH($B673,'Intervals'!$A$4:$A$33,0))&lt;&gt;"No",N(INDEX('Intervals'!$C$4:$C$33,MATCH($B673,'Intervals'!$A$4:$A$33,0)))&gt;0),$E673+N(INDEX('Intervals'!$C$4:$C$33,MATCH($B673,'Intervals'!$A$4:$A$33,0))),""),""))</f>
        <v/>
      </c>
      <c r="G673" s="20">
        <f>IF(OR($B673="",$D673=""),"",IFERROR(IF(AND(INDEX('Intervals'!$G$4:$G$33,MATCH($B673,'Intervals'!$A$4:$A$33,0))&lt;&gt;"No",N(INDEX('Intervals'!$D$4:$D$33,MATCH($B673,'Intervals'!$A$4:$A$33,0)))&gt;0),EDATE($D673,N(INDEX('Intervals'!$D$4:$D$33,MATCH($B673,'Intervals'!$A$4:$A$33,0)))),""),""))</f>
        <v/>
      </c>
      <c r="H673" s="19">
        <f>IF($A673="","",IFERROR(IF(N(INDEX('Cars'!$H$4:$H$103,MATCH($A673,'Cars'!$A$4:$A$103,0)))&gt;0,INDEX('Cars'!$H$4:$H$103,MATCH($A673,'Cars'!$A$4:$A$103,0)),""),""))</f>
        <v/>
      </c>
      <c r="I673" s="19">
        <f>IF(OR($F673="",$H673=""),"",$F673-$H673)</f>
        <v/>
      </c>
      <c r="J673" s="21">
        <f>IF($G673="","",$G673-TODAY())</f>
        <v/>
      </c>
      <c r="K673" s="21">
        <f>IF($I673="","",IFERROR(IF(N(INDEX('Cars'!$J$4:$J$103,MATCH($A673,'Cars'!$A$4:$A$103,0)))&gt;0,ROUND($I673/INDEX('Cars'!$J$4:$J$103,MATCH($A673,'Cars'!$A$4:$A$103,0))*30,0),""),""))</f>
        <v/>
      </c>
      <c r="L673" s="21">
        <f>IF(AND($J673="",$K673=""),"",MIN(IF($J673="",99999,$J673),IF($K673="",99999,$K673)))</f>
        <v/>
      </c>
      <c r="M673" s="16">
        <f>IF(AND($I673="",$J673=""),"",IF(OR(AND($I673&lt;&gt;"",N($I673)&lt;0),AND($J673&lt;&gt;"",N($J673)&lt;0)),"Overdue",IF(OR(AND($I673&lt;&gt;"",N($I673)&lt;=IFERROR(INDEX('Intervals'!$E$4:$E$33,MATCH($B673,'Intervals'!$A$4:$A$33,0)),500)),AND($J673&lt;&gt;"",N($J673)&lt;=IFERROR(INDEX('Intervals'!$F$4:$F$33,MATCH($B673,'Intervals'!$A$4:$A$33,0)),14))),"Due soon","OK")))</f>
        <v/>
      </c>
      <c r="N673" s="15" t="n"/>
      <c r="O673" s="22">
        <f>IF(OR($M673="",$M673="OK"),"",$L673+ROW()/100000)</f>
        <v/>
      </c>
    </row>
    <row r="674">
      <c r="A674" s="15" t="n"/>
      <c r="B674" s="15" t="n"/>
      <c r="C674" s="16">
        <f>IF($B674="","",IFERROR(INDEX('Intervals'!$B$4:$B$33,MATCH($B674,'Intervals'!$A$4:$A$33,0)),""))</f>
        <v/>
      </c>
      <c r="D674" s="17" t="n"/>
      <c r="E674" s="18" t="n"/>
      <c r="F674" s="19">
        <f>IF(OR($B674="",$E674=""),"",IFERROR(IF(AND(INDEX('Intervals'!$G$4:$G$33,MATCH($B674,'Intervals'!$A$4:$A$33,0))&lt;&gt;"No",N(INDEX('Intervals'!$C$4:$C$33,MATCH($B674,'Intervals'!$A$4:$A$33,0)))&gt;0),$E674+N(INDEX('Intervals'!$C$4:$C$33,MATCH($B674,'Intervals'!$A$4:$A$33,0))),""),""))</f>
        <v/>
      </c>
      <c r="G674" s="20">
        <f>IF(OR($B674="",$D674=""),"",IFERROR(IF(AND(INDEX('Intervals'!$G$4:$G$33,MATCH($B674,'Intervals'!$A$4:$A$33,0))&lt;&gt;"No",N(INDEX('Intervals'!$D$4:$D$33,MATCH($B674,'Intervals'!$A$4:$A$33,0)))&gt;0),EDATE($D674,N(INDEX('Intervals'!$D$4:$D$33,MATCH($B674,'Intervals'!$A$4:$A$33,0)))),""),""))</f>
        <v/>
      </c>
      <c r="H674" s="19">
        <f>IF($A674="","",IFERROR(IF(N(INDEX('Cars'!$H$4:$H$103,MATCH($A674,'Cars'!$A$4:$A$103,0)))&gt;0,INDEX('Cars'!$H$4:$H$103,MATCH($A674,'Cars'!$A$4:$A$103,0)),""),""))</f>
        <v/>
      </c>
      <c r="I674" s="19">
        <f>IF(OR($F674="",$H674=""),"",$F674-$H674)</f>
        <v/>
      </c>
      <c r="J674" s="21">
        <f>IF($G674="","",$G674-TODAY())</f>
        <v/>
      </c>
      <c r="K674" s="21">
        <f>IF($I674="","",IFERROR(IF(N(INDEX('Cars'!$J$4:$J$103,MATCH($A674,'Cars'!$A$4:$A$103,0)))&gt;0,ROUND($I674/INDEX('Cars'!$J$4:$J$103,MATCH($A674,'Cars'!$A$4:$A$103,0))*30,0),""),""))</f>
        <v/>
      </c>
      <c r="L674" s="21">
        <f>IF(AND($J674="",$K674=""),"",MIN(IF($J674="",99999,$J674),IF($K674="",99999,$K674)))</f>
        <v/>
      </c>
      <c r="M674" s="16">
        <f>IF(AND($I674="",$J674=""),"",IF(OR(AND($I674&lt;&gt;"",N($I674)&lt;0),AND($J674&lt;&gt;"",N($J674)&lt;0)),"Overdue",IF(OR(AND($I674&lt;&gt;"",N($I674)&lt;=IFERROR(INDEX('Intervals'!$E$4:$E$33,MATCH($B674,'Intervals'!$A$4:$A$33,0)),500)),AND($J674&lt;&gt;"",N($J674)&lt;=IFERROR(INDEX('Intervals'!$F$4:$F$33,MATCH($B674,'Intervals'!$A$4:$A$33,0)),14))),"Due soon","OK")))</f>
        <v/>
      </c>
      <c r="N674" s="15" t="n"/>
      <c r="O674" s="22">
        <f>IF(OR($M674="",$M674="OK"),"",$L674+ROW()/100000)</f>
        <v/>
      </c>
    </row>
    <row r="675">
      <c r="A675" s="15" t="n"/>
      <c r="B675" s="15" t="n"/>
      <c r="C675" s="16">
        <f>IF($B675="","",IFERROR(INDEX('Intervals'!$B$4:$B$33,MATCH($B675,'Intervals'!$A$4:$A$33,0)),""))</f>
        <v/>
      </c>
      <c r="D675" s="17" t="n"/>
      <c r="E675" s="18" t="n"/>
      <c r="F675" s="19">
        <f>IF(OR($B675="",$E675=""),"",IFERROR(IF(AND(INDEX('Intervals'!$G$4:$G$33,MATCH($B675,'Intervals'!$A$4:$A$33,0))&lt;&gt;"No",N(INDEX('Intervals'!$C$4:$C$33,MATCH($B675,'Intervals'!$A$4:$A$33,0)))&gt;0),$E675+N(INDEX('Intervals'!$C$4:$C$33,MATCH($B675,'Intervals'!$A$4:$A$33,0))),""),""))</f>
        <v/>
      </c>
      <c r="G675" s="20">
        <f>IF(OR($B675="",$D675=""),"",IFERROR(IF(AND(INDEX('Intervals'!$G$4:$G$33,MATCH($B675,'Intervals'!$A$4:$A$33,0))&lt;&gt;"No",N(INDEX('Intervals'!$D$4:$D$33,MATCH($B675,'Intervals'!$A$4:$A$33,0)))&gt;0),EDATE($D675,N(INDEX('Intervals'!$D$4:$D$33,MATCH($B675,'Intervals'!$A$4:$A$33,0)))),""),""))</f>
        <v/>
      </c>
      <c r="H675" s="19">
        <f>IF($A675="","",IFERROR(IF(N(INDEX('Cars'!$H$4:$H$103,MATCH($A675,'Cars'!$A$4:$A$103,0)))&gt;0,INDEX('Cars'!$H$4:$H$103,MATCH($A675,'Cars'!$A$4:$A$103,0)),""),""))</f>
        <v/>
      </c>
      <c r="I675" s="19">
        <f>IF(OR($F675="",$H675=""),"",$F675-$H675)</f>
        <v/>
      </c>
      <c r="J675" s="21">
        <f>IF($G675="","",$G675-TODAY())</f>
        <v/>
      </c>
      <c r="K675" s="21">
        <f>IF($I675="","",IFERROR(IF(N(INDEX('Cars'!$J$4:$J$103,MATCH($A675,'Cars'!$A$4:$A$103,0)))&gt;0,ROUND($I675/INDEX('Cars'!$J$4:$J$103,MATCH($A675,'Cars'!$A$4:$A$103,0))*30,0),""),""))</f>
        <v/>
      </c>
      <c r="L675" s="21">
        <f>IF(AND($J675="",$K675=""),"",MIN(IF($J675="",99999,$J675),IF($K675="",99999,$K675)))</f>
        <v/>
      </c>
      <c r="M675" s="16">
        <f>IF(AND($I675="",$J675=""),"",IF(OR(AND($I675&lt;&gt;"",N($I675)&lt;0),AND($J675&lt;&gt;"",N($J675)&lt;0)),"Overdue",IF(OR(AND($I675&lt;&gt;"",N($I675)&lt;=IFERROR(INDEX('Intervals'!$E$4:$E$33,MATCH($B675,'Intervals'!$A$4:$A$33,0)),500)),AND($J675&lt;&gt;"",N($J675)&lt;=IFERROR(INDEX('Intervals'!$F$4:$F$33,MATCH($B675,'Intervals'!$A$4:$A$33,0)),14))),"Due soon","OK")))</f>
        <v/>
      </c>
      <c r="N675" s="15" t="n"/>
      <c r="O675" s="22">
        <f>IF(OR($M675="",$M675="OK"),"",$L675+ROW()/100000)</f>
        <v/>
      </c>
    </row>
    <row r="676">
      <c r="A676" s="15" t="n"/>
      <c r="B676" s="15" t="n"/>
      <c r="C676" s="16">
        <f>IF($B676="","",IFERROR(INDEX('Intervals'!$B$4:$B$33,MATCH($B676,'Intervals'!$A$4:$A$33,0)),""))</f>
        <v/>
      </c>
      <c r="D676" s="17" t="n"/>
      <c r="E676" s="18" t="n"/>
      <c r="F676" s="19">
        <f>IF(OR($B676="",$E676=""),"",IFERROR(IF(AND(INDEX('Intervals'!$G$4:$G$33,MATCH($B676,'Intervals'!$A$4:$A$33,0))&lt;&gt;"No",N(INDEX('Intervals'!$C$4:$C$33,MATCH($B676,'Intervals'!$A$4:$A$33,0)))&gt;0),$E676+N(INDEX('Intervals'!$C$4:$C$33,MATCH($B676,'Intervals'!$A$4:$A$33,0))),""),""))</f>
        <v/>
      </c>
      <c r="G676" s="20">
        <f>IF(OR($B676="",$D676=""),"",IFERROR(IF(AND(INDEX('Intervals'!$G$4:$G$33,MATCH($B676,'Intervals'!$A$4:$A$33,0))&lt;&gt;"No",N(INDEX('Intervals'!$D$4:$D$33,MATCH($B676,'Intervals'!$A$4:$A$33,0)))&gt;0),EDATE($D676,N(INDEX('Intervals'!$D$4:$D$33,MATCH($B676,'Intervals'!$A$4:$A$33,0)))),""),""))</f>
        <v/>
      </c>
      <c r="H676" s="19">
        <f>IF($A676="","",IFERROR(IF(N(INDEX('Cars'!$H$4:$H$103,MATCH($A676,'Cars'!$A$4:$A$103,0)))&gt;0,INDEX('Cars'!$H$4:$H$103,MATCH($A676,'Cars'!$A$4:$A$103,0)),""),""))</f>
        <v/>
      </c>
      <c r="I676" s="19">
        <f>IF(OR($F676="",$H676=""),"",$F676-$H676)</f>
        <v/>
      </c>
      <c r="J676" s="21">
        <f>IF($G676="","",$G676-TODAY())</f>
        <v/>
      </c>
      <c r="K676" s="21">
        <f>IF($I676="","",IFERROR(IF(N(INDEX('Cars'!$J$4:$J$103,MATCH($A676,'Cars'!$A$4:$A$103,0)))&gt;0,ROUND($I676/INDEX('Cars'!$J$4:$J$103,MATCH($A676,'Cars'!$A$4:$A$103,0))*30,0),""),""))</f>
        <v/>
      </c>
      <c r="L676" s="21">
        <f>IF(AND($J676="",$K676=""),"",MIN(IF($J676="",99999,$J676),IF($K676="",99999,$K676)))</f>
        <v/>
      </c>
      <c r="M676" s="16">
        <f>IF(AND($I676="",$J676=""),"",IF(OR(AND($I676&lt;&gt;"",N($I676)&lt;0),AND($J676&lt;&gt;"",N($J676)&lt;0)),"Overdue",IF(OR(AND($I676&lt;&gt;"",N($I676)&lt;=IFERROR(INDEX('Intervals'!$E$4:$E$33,MATCH($B676,'Intervals'!$A$4:$A$33,0)),500)),AND($J676&lt;&gt;"",N($J676)&lt;=IFERROR(INDEX('Intervals'!$F$4:$F$33,MATCH($B676,'Intervals'!$A$4:$A$33,0)),14))),"Due soon","OK")))</f>
        <v/>
      </c>
      <c r="N676" s="15" t="n"/>
      <c r="O676" s="22">
        <f>IF(OR($M676="",$M676="OK"),"",$L676+ROW()/100000)</f>
        <v/>
      </c>
    </row>
    <row r="677">
      <c r="A677" s="15" t="n"/>
      <c r="B677" s="15" t="n"/>
      <c r="C677" s="16">
        <f>IF($B677="","",IFERROR(INDEX('Intervals'!$B$4:$B$33,MATCH($B677,'Intervals'!$A$4:$A$33,0)),""))</f>
        <v/>
      </c>
      <c r="D677" s="17" t="n"/>
      <c r="E677" s="18" t="n"/>
      <c r="F677" s="19">
        <f>IF(OR($B677="",$E677=""),"",IFERROR(IF(AND(INDEX('Intervals'!$G$4:$G$33,MATCH($B677,'Intervals'!$A$4:$A$33,0))&lt;&gt;"No",N(INDEX('Intervals'!$C$4:$C$33,MATCH($B677,'Intervals'!$A$4:$A$33,0)))&gt;0),$E677+N(INDEX('Intervals'!$C$4:$C$33,MATCH($B677,'Intervals'!$A$4:$A$33,0))),""),""))</f>
        <v/>
      </c>
      <c r="G677" s="20">
        <f>IF(OR($B677="",$D677=""),"",IFERROR(IF(AND(INDEX('Intervals'!$G$4:$G$33,MATCH($B677,'Intervals'!$A$4:$A$33,0))&lt;&gt;"No",N(INDEX('Intervals'!$D$4:$D$33,MATCH($B677,'Intervals'!$A$4:$A$33,0)))&gt;0),EDATE($D677,N(INDEX('Intervals'!$D$4:$D$33,MATCH($B677,'Intervals'!$A$4:$A$33,0)))),""),""))</f>
        <v/>
      </c>
      <c r="H677" s="19">
        <f>IF($A677="","",IFERROR(IF(N(INDEX('Cars'!$H$4:$H$103,MATCH($A677,'Cars'!$A$4:$A$103,0)))&gt;0,INDEX('Cars'!$H$4:$H$103,MATCH($A677,'Cars'!$A$4:$A$103,0)),""),""))</f>
        <v/>
      </c>
      <c r="I677" s="19">
        <f>IF(OR($F677="",$H677=""),"",$F677-$H677)</f>
        <v/>
      </c>
      <c r="J677" s="21">
        <f>IF($G677="","",$G677-TODAY())</f>
        <v/>
      </c>
      <c r="K677" s="21">
        <f>IF($I677="","",IFERROR(IF(N(INDEX('Cars'!$J$4:$J$103,MATCH($A677,'Cars'!$A$4:$A$103,0)))&gt;0,ROUND($I677/INDEX('Cars'!$J$4:$J$103,MATCH($A677,'Cars'!$A$4:$A$103,0))*30,0),""),""))</f>
        <v/>
      </c>
      <c r="L677" s="21">
        <f>IF(AND($J677="",$K677=""),"",MIN(IF($J677="",99999,$J677),IF($K677="",99999,$K677)))</f>
        <v/>
      </c>
      <c r="M677" s="16">
        <f>IF(AND($I677="",$J677=""),"",IF(OR(AND($I677&lt;&gt;"",N($I677)&lt;0),AND($J677&lt;&gt;"",N($J677)&lt;0)),"Overdue",IF(OR(AND($I677&lt;&gt;"",N($I677)&lt;=IFERROR(INDEX('Intervals'!$E$4:$E$33,MATCH($B677,'Intervals'!$A$4:$A$33,0)),500)),AND($J677&lt;&gt;"",N($J677)&lt;=IFERROR(INDEX('Intervals'!$F$4:$F$33,MATCH($B677,'Intervals'!$A$4:$A$33,0)),14))),"Due soon","OK")))</f>
        <v/>
      </c>
      <c r="N677" s="15" t="n"/>
      <c r="O677" s="22">
        <f>IF(OR($M677="",$M677="OK"),"",$L677+ROW()/100000)</f>
        <v/>
      </c>
    </row>
    <row r="678">
      <c r="A678" s="15" t="n"/>
      <c r="B678" s="15" t="n"/>
      <c r="C678" s="16">
        <f>IF($B678="","",IFERROR(INDEX('Intervals'!$B$4:$B$33,MATCH($B678,'Intervals'!$A$4:$A$33,0)),""))</f>
        <v/>
      </c>
      <c r="D678" s="17" t="n"/>
      <c r="E678" s="18" t="n"/>
      <c r="F678" s="19">
        <f>IF(OR($B678="",$E678=""),"",IFERROR(IF(AND(INDEX('Intervals'!$G$4:$G$33,MATCH($B678,'Intervals'!$A$4:$A$33,0))&lt;&gt;"No",N(INDEX('Intervals'!$C$4:$C$33,MATCH($B678,'Intervals'!$A$4:$A$33,0)))&gt;0),$E678+N(INDEX('Intervals'!$C$4:$C$33,MATCH($B678,'Intervals'!$A$4:$A$33,0))),""),""))</f>
        <v/>
      </c>
      <c r="G678" s="20">
        <f>IF(OR($B678="",$D678=""),"",IFERROR(IF(AND(INDEX('Intervals'!$G$4:$G$33,MATCH($B678,'Intervals'!$A$4:$A$33,0))&lt;&gt;"No",N(INDEX('Intervals'!$D$4:$D$33,MATCH($B678,'Intervals'!$A$4:$A$33,0)))&gt;0),EDATE($D678,N(INDEX('Intervals'!$D$4:$D$33,MATCH($B678,'Intervals'!$A$4:$A$33,0)))),""),""))</f>
        <v/>
      </c>
      <c r="H678" s="19">
        <f>IF($A678="","",IFERROR(IF(N(INDEX('Cars'!$H$4:$H$103,MATCH($A678,'Cars'!$A$4:$A$103,0)))&gt;0,INDEX('Cars'!$H$4:$H$103,MATCH($A678,'Cars'!$A$4:$A$103,0)),""),""))</f>
        <v/>
      </c>
      <c r="I678" s="19">
        <f>IF(OR($F678="",$H678=""),"",$F678-$H678)</f>
        <v/>
      </c>
      <c r="J678" s="21">
        <f>IF($G678="","",$G678-TODAY())</f>
        <v/>
      </c>
      <c r="K678" s="21">
        <f>IF($I678="","",IFERROR(IF(N(INDEX('Cars'!$J$4:$J$103,MATCH($A678,'Cars'!$A$4:$A$103,0)))&gt;0,ROUND($I678/INDEX('Cars'!$J$4:$J$103,MATCH($A678,'Cars'!$A$4:$A$103,0))*30,0),""),""))</f>
        <v/>
      </c>
      <c r="L678" s="21">
        <f>IF(AND($J678="",$K678=""),"",MIN(IF($J678="",99999,$J678),IF($K678="",99999,$K678)))</f>
        <v/>
      </c>
      <c r="M678" s="16">
        <f>IF(AND($I678="",$J678=""),"",IF(OR(AND($I678&lt;&gt;"",N($I678)&lt;0),AND($J678&lt;&gt;"",N($J678)&lt;0)),"Overdue",IF(OR(AND($I678&lt;&gt;"",N($I678)&lt;=IFERROR(INDEX('Intervals'!$E$4:$E$33,MATCH($B678,'Intervals'!$A$4:$A$33,0)),500)),AND($J678&lt;&gt;"",N($J678)&lt;=IFERROR(INDEX('Intervals'!$F$4:$F$33,MATCH($B678,'Intervals'!$A$4:$A$33,0)),14))),"Due soon","OK")))</f>
        <v/>
      </c>
      <c r="N678" s="15" t="n"/>
      <c r="O678" s="22">
        <f>IF(OR($M678="",$M678="OK"),"",$L678+ROW()/100000)</f>
        <v/>
      </c>
    </row>
    <row r="679">
      <c r="A679" s="15" t="n"/>
      <c r="B679" s="15" t="n"/>
      <c r="C679" s="16">
        <f>IF($B679="","",IFERROR(INDEX('Intervals'!$B$4:$B$33,MATCH($B679,'Intervals'!$A$4:$A$33,0)),""))</f>
        <v/>
      </c>
      <c r="D679" s="17" t="n"/>
      <c r="E679" s="18" t="n"/>
      <c r="F679" s="19">
        <f>IF(OR($B679="",$E679=""),"",IFERROR(IF(AND(INDEX('Intervals'!$G$4:$G$33,MATCH($B679,'Intervals'!$A$4:$A$33,0))&lt;&gt;"No",N(INDEX('Intervals'!$C$4:$C$33,MATCH($B679,'Intervals'!$A$4:$A$33,0)))&gt;0),$E679+N(INDEX('Intervals'!$C$4:$C$33,MATCH($B679,'Intervals'!$A$4:$A$33,0))),""),""))</f>
        <v/>
      </c>
      <c r="G679" s="20">
        <f>IF(OR($B679="",$D679=""),"",IFERROR(IF(AND(INDEX('Intervals'!$G$4:$G$33,MATCH($B679,'Intervals'!$A$4:$A$33,0))&lt;&gt;"No",N(INDEX('Intervals'!$D$4:$D$33,MATCH($B679,'Intervals'!$A$4:$A$33,0)))&gt;0),EDATE($D679,N(INDEX('Intervals'!$D$4:$D$33,MATCH($B679,'Intervals'!$A$4:$A$33,0)))),""),""))</f>
        <v/>
      </c>
      <c r="H679" s="19">
        <f>IF($A679="","",IFERROR(IF(N(INDEX('Cars'!$H$4:$H$103,MATCH($A679,'Cars'!$A$4:$A$103,0)))&gt;0,INDEX('Cars'!$H$4:$H$103,MATCH($A679,'Cars'!$A$4:$A$103,0)),""),""))</f>
        <v/>
      </c>
      <c r="I679" s="19">
        <f>IF(OR($F679="",$H679=""),"",$F679-$H679)</f>
        <v/>
      </c>
      <c r="J679" s="21">
        <f>IF($G679="","",$G679-TODAY())</f>
        <v/>
      </c>
      <c r="K679" s="21">
        <f>IF($I679="","",IFERROR(IF(N(INDEX('Cars'!$J$4:$J$103,MATCH($A679,'Cars'!$A$4:$A$103,0)))&gt;0,ROUND($I679/INDEX('Cars'!$J$4:$J$103,MATCH($A679,'Cars'!$A$4:$A$103,0))*30,0),""),""))</f>
        <v/>
      </c>
      <c r="L679" s="21">
        <f>IF(AND($J679="",$K679=""),"",MIN(IF($J679="",99999,$J679),IF($K679="",99999,$K679)))</f>
        <v/>
      </c>
      <c r="M679" s="16">
        <f>IF(AND($I679="",$J679=""),"",IF(OR(AND($I679&lt;&gt;"",N($I679)&lt;0),AND($J679&lt;&gt;"",N($J679)&lt;0)),"Overdue",IF(OR(AND($I679&lt;&gt;"",N($I679)&lt;=IFERROR(INDEX('Intervals'!$E$4:$E$33,MATCH($B679,'Intervals'!$A$4:$A$33,0)),500)),AND($J679&lt;&gt;"",N($J679)&lt;=IFERROR(INDEX('Intervals'!$F$4:$F$33,MATCH($B679,'Intervals'!$A$4:$A$33,0)),14))),"Due soon","OK")))</f>
        <v/>
      </c>
      <c r="N679" s="15" t="n"/>
      <c r="O679" s="22">
        <f>IF(OR($M679="",$M679="OK"),"",$L679+ROW()/100000)</f>
        <v/>
      </c>
    </row>
    <row r="680">
      <c r="A680" s="15" t="n"/>
      <c r="B680" s="15" t="n"/>
      <c r="C680" s="16">
        <f>IF($B680="","",IFERROR(INDEX('Intervals'!$B$4:$B$33,MATCH($B680,'Intervals'!$A$4:$A$33,0)),""))</f>
        <v/>
      </c>
      <c r="D680" s="17" t="n"/>
      <c r="E680" s="18" t="n"/>
      <c r="F680" s="19">
        <f>IF(OR($B680="",$E680=""),"",IFERROR(IF(AND(INDEX('Intervals'!$G$4:$G$33,MATCH($B680,'Intervals'!$A$4:$A$33,0))&lt;&gt;"No",N(INDEX('Intervals'!$C$4:$C$33,MATCH($B680,'Intervals'!$A$4:$A$33,0)))&gt;0),$E680+N(INDEX('Intervals'!$C$4:$C$33,MATCH($B680,'Intervals'!$A$4:$A$33,0))),""),""))</f>
        <v/>
      </c>
      <c r="G680" s="20">
        <f>IF(OR($B680="",$D680=""),"",IFERROR(IF(AND(INDEX('Intervals'!$G$4:$G$33,MATCH($B680,'Intervals'!$A$4:$A$33,0))&lt;&gt;"No",N(INDEX('Intervals'!$D$4:$D$33,MATCH($B680,'Intervals'!$A$4:$A$33,0)))&gt;0),EDATE($D680,N(INDEX('Intervals'!$D$4:$D$33,MATCH($B680,'Intervals'!$A$4:$A$33,0)))),""),""))</f>
        <v/>
      </c>
      <c r="H680" s="19">
        <f>IF($A680="","",IFERROR(IF(N(INDEX('Cars'!$H$4:$H$103,MATCH($A680,'Cars'!$A$4:$A$103,0)))&gt;0,INDEX('Cars'!$H$4:$H$103,MATCH($A680,'Cars'!$A$4:$A$103,0)),""),""))</f>
        <v/>
      </c>
      <c r="I680" s="19">
        <f>IF(OR($F680="",$H680=""),"",$F680-$H680)</f>
        <v/>
      </c>
      <c r="J680" s="21">
        <f>IF($G680="","",$G680-TODAY())</f>
        <v/>
      </c>
      <c r="K680" s="21">
        <f>IF($I680="","",IFERROR(IF(N(INDEX('Cars'!$J$4:$J$103,MATCH($A680,'Cars'!$A$4:$A$103,0)))&gt;0,ROUND($I680/INDEX('Cars'!$J$4:$J$103,MATCH($A680,'Cars'!$A$4:$A$103,0))*30,0),""),""))</f>
        <v/>
      </c>
      <c r="L680" s="21">
        <f>IF(AND($J680="",$K680=""),"",MIN(IF($J680="",99999,$J680),IF($K680="",99999,$K680)))</f>
        <v/>
      </c>
      <c r="M680" s="16">
        <f>IF(AND($I680="",$J680=""),"",IF(OR(AND($I680&lt;&gt;"",N($I680)&lt;0),AND($J680&lt;&gt;"",N($J680)&lt;0)),"Overdue",IF(OR(AND($I680&lt;&gt;"",N($I680)&lt;=IFERROR(INDEX('Intervals'!$E$4:$E$33,MATCH($B680,'Intervals'!$A$4:$A$33,0)),500)),AND($J680&lt;&gt;"",N($J680)&lt;=IFERROR(INDEX('Intervals'!$F$4:$F$33,MATCH($B680,'Intervals'!$A$4:$A$33,0)),14))),"Due soon","OK")))</f>
        <v/>
      </c>
      <c r="N680" s="15" t="n"/>
      <c r="O680" s="22">
        <f>IF(OR($M680="",$M680="OK"),"",$L680+ROW()/100000)</f>
        <v/>
      </c>
    </row>
    <row r="681">
      <c r="A681" s="15" t="n"/>
      <c r="B681" s="15" t="n"/>
      <c r="C681" s="16">
        <f>IF($B681="","",IFERROR(INDEX('Intervals'!$B$4:$B$33,MATCH($B681,'Intervals'!$A$4:$A$33,0)),""))</f>
        <v/>
      </c>
      <c r="D681" s="17" t="n"/>
      <c r="E681" s="18" t="n"/>
      <c r="F681" s="19">
        <f>IF(OR($B681="",$E681=""),"",IFERROR(IF(AND(INDEX('Intervals'!$G$4:$G$33,MATCH($B681,'Intervals'!$A$4:$A$33,0))&lt;&gt;"No",N(INDEX('Intervals'!$C$4:$C$33,MATCH($B681,'Intervals'!$A$4:$A$33,0)))&gt;0),$E681+N(INDEX('Intervals'!$C$4:$C$33,MATCH($B681,'Intervals'!$A$4:$A$33,0))),""),""))</f>
        <v/>
      </c>
      <c r="G681" s="20">
        <f>IF(OR($B681="",$D681=""),"",IFERROR(IF(AND(INDEX('Intervals'!$G$4:$G$33,MATCH($B681,'Intervals'!$A$4:$A$33,0))&lt;&gt;"No",N(INDEX('Intervals'!$D$4:$D$33,MATCH($B681,'Intervals'!$A$4:$A$33,0)))&gt;0),EDATE($D681,N(INDEX('Intervals'!$D$4:$D$33,MATCH($B681,'Intervals'!$A$4:$A$33,0)))),""),""))</f>
        <v/>
      </c>
      <c r="H681" s="19">
        <f>IF($A681="","",IFERROR(IF(N(INDEX('Cars'!$H$4:$H$103,MATCH($A681,'Cars'!$A$4:$A$103,0)))&gt;0,INDEX('Cars'!$H$4:$H$103,MATCH($A681,'Cars'!$A$4:$A$103,0)),""),""))</f>
        <v/>
      </c>
      <c r="I681" s="19">
        <f>IF(OR($F681="",$H681=""),"",$F681-$H681)</f>
        <v/>
      </c>
      <c r="J681" s="21">
        <f>IF($G681="","",$G681-TODAY())</f>
        <v/>
      </c>
      <c r="K681" s="21">
        <f>IF($I681="","",IFERROR(IF(N(INDEX('Cars'!$J$4:$J$103,MATCH($A681,'Cars'!$A$4:$A$103,0)))&gt;0,ROUND($I681/INDEX('Cars'!$J$4:$J$103,MATCH($A681,'Cars'!$A$4:$A$103,0))*30,0),""),""))</f>
        <v/>
      </c>
      <c r="L681" s="21">
        <f>IF(AND($J681="",$K681=""),"",MIN(IF($J681="",99999,$J681),IF($K681="",99999,$K681)))</f>
        <v/>
      </c>
      <c r="M681" s="16">
        <f>IF(AND($I681="",$J681=""),"",IF(OR(AND($I681&lt;&gt;"",N($I681)&lt;0),AND($J681&lt;&gt;"",N($J681)&lt;0)),"Overdue",IF(OR(AND($I681&lt;&gt;"",N($I681)&lt;=IFERROR(INDEX('Intervals'!$E$4:$E$33,MATCH($B681,'Intervals'!$A$4:$A$33,0)),500)),AND($J681&lt;&gt;"",N($J681)&lt;=IFERROR(INDEX('Intervals'!$F$4:$F$33,MATCH($B681,'Intervals'!$A$4:$A$33,0)),14))),"Due soon","OK")))</f>
        <v/>
      </c>
      <c r="N681" s="15" t="n"/>
      <c r="O681" s="22">
        <f>IF(OR($M681="",$M681="OK"),"",$L681+ROW()/100000)</f>
        <v/>
      </c>
    </row>
    <row r="682">
      <c r="A682" s="15" t="n"/>
      <c r="B682" s="15" t="n"/>
      <c r="C682" s="16">
        <f>IF($B682="","",IFERROR(INDEX('Intervals'!$B$4:$B$33,MATCH($B682,'Intervals'!$A$4:$A$33,0)),""))</f>
        <v/>
      </c>
      <c r="D682" s="17" t="n"/>
      <c r="E682" s="18" t="n"/>
      <c r="F682" s="19">
        <f>IF(OR($B682="",$E682=""),"",IFERROR(IF(AND(INDEX('Intervals'!$G$4:$G$33,MATCH($B682,'Intervals'!$A$4:$A$33,0))&lt;&gt;"No",N(INDEX('Intervals'!$C$4:$C$33,MATCH($B682,'Intervals'!$A$4:$A$33,0)))&gt;0),$E682+N(INDEX('Intervals'!$C$4:$C$33,MATCH($B682,'Intervals'!$A$4:$A$33,0))),""),""))</f>
        <v/>
      </c>
      <c r="G682" s="20">
        <f>IF(OR($B682="",$D682=""),"",IFERROR(IF(AND(INDEX('Intervals'!$G$4:$G$33,MATCH($B682,'Intervals'!$A$4:$A$33,0))&lt;&gt;"No",N(INDEX('Intervals'!$D$4:$D$33,MATCH($B682,'Intervals'!$A$4:$A$33,0)))&gt;0),EDATE($D682,N(INDEX('Intervals'!$D$4:$D$33,MATCH($B682,'Intervals'!$A$4:$A$33,0)))),""),""))</f>
        <v/>
      </c>
      <c r="H682" s="19">
        <f>IF($A682="","",IFERROR(IF(N(INDEX('Cars'!$H$4:$H$103,MATCH($A682,'Cars'!$A$4:$A$103,0)))&gt;0,INDEX('Cars'!$H$4:$H$103,MATCH($A682,'Cars'!$A$4:$A$103,0)),""),""))</f>
        <v/>
      </c>
      <c r="I682" s="19">
        <f>IF(OR($F682="",$H682=""),"",$F682-$H682)</f>
        <v/>
      </c>
      <c r="J682" s="21">
        <f>IF($G682="","",$G682-TODAY())</f>
        <v/>
      </c>
      <c r="K682" s="21">
        <f>IF($I682="","",IFERROR(IF(N(INDEX('Cars'!$J$4:$J$103,MATCH($A682,'Cars'!$A$4:$A$103,0)))&gt;0,ROUND($I682/INDEX('Cars'!$J$4:$J$103,MATCH($A682,'Cars'!$A$4:$A$103,0))*30,0),""),""))</f>
        <v/>
      </c>
      <c r="L682" s="21">
        <f>IF(AND($J682="",$K682=""),"",MIN(IF($J682="",99999,$J682),IF($K682="",99999,$K682)))</f>
        <v/>
      </c>
      <c r="M682" s="16">
        <f>IF(AND($I682="",$J682=""),"",IF(OR(AND($I682&lt;&gt;"",N($I682)&lt;0),AND($J682&lt;&gt;"",N($J682)&lt;0)),"Overdue",IF(OR(AND($I682&lt;&gt;"",N($I682)&lt;=IFERROR(INDEX('Intervals'!$E$4:$E$33,MATCH($B682,'Intervals'!$A$4:$A$33,0)),500)),AND($J682&lt;&gt;"",N($J682)&lt;=IFERROR(INDEX('Intervals'!$F$4:$F$33,MATCH($B682,'Intervals'!$A$4:$A$33,0)),14))),"Due soon","OK")))</f>
        <v/>
      </c>
      <c r="N682" s="15" t="n"/>
      <c r="O682" s="22">
        <f>IF(OR($M682="",$M682="OK"),"",$L682+ROW()/100000)</f>
        <v/>
      </c>
    </row>
    <row r="683">
      <c r="A683" s="15" t="n"/>
      <c r="B683" s="15" t="n"/>
      <c r="C683" s="16">
        <f>IF($B683="","",IFERROR(INDEX('Intervals'!$B$4:$B$33,MATCH($B683,'Intervals'!$A$4:$A$33,0)),""))</f>
        <v/>
      </c>
      <c r="D683" s="17" t="n"/>
      <c r="E683" s="18" t="n"/>
      <c r="F683" s="19">
        <f>IF(OR($B683="",$E683=""),"",IFERROR(IF(AND(INDEX('Intervals'!$G$4:$G$33,MATCH($B683,'Intervals'!$A$4:$A$33,0))&lt;&gt;"No",N(INDEX('Intervals'!$C$4:$C$33,MATCH($B683,'Intervals'!$A$4:$A$33,0)))&gt;0),$E683+N(INDEX('Intervals'!$C$4:$C$33,MATCH($B683,'Intervals'!$A$4:$A$33,0))),""),""))</f>
        <v/>
      </c>
      <c r="G683" s="20">
        <f>IF(OR($B683="",$D683=""),"",IFERROR(IF(AND(INDEX('Intervals'!$G$4:$G$33,MATCH($B683,'Intervals'!$A$4:$A$33,0))&lt;&gt;"No",N(INDEX('Intervals'!$D$4:$D$33,MATCH($B683,'Intervals'!$A$4:$A$33,0)))&gt;0),EDATE($D683,N(INDEX('Intervals'!$D$4:$D$33,MATCH($B683,'Intervals'!$A$4:$A$33,0)))),""),""))</f>
        <v/>
      </c>
      <c r="H683" s="19">
        <f>IF($A683="","",IFERROR(IF(N(INDEX('Cars'!$H$4:$H$103,MATCH($A683,'Cars'!$A$4:$A$103,0)))&gt;0,INDEX('Cars'!$H$4:$H$103,MATCH($A683,'Cars'!$A$4:$A$103,0)),""),""))</f>
        <v/>
      </c>
      <c r="I683" s="19">
        <f>IF(OR($F683="",$H683=""),"",$F683-$H683)</f>
        <v/>
      </c>
      <c r="J683" s="21">
        <f>IF($G683="","",$G683-TODAY())</f>
        <v/>
      </c>
      <c r="K683" s="21">
        <f>IF($I683="","",IFERROR(IF(N(INDEX('Cars'!$J$4:$J$103,MATCH($A683,'Cars'!$A$4:$A$103,0)))&gt;0,ROUND($I683/INDEX('Cars'!$J$4:$J$103,MATCH($A683,'Cars'!$A$4:$A$103,0))*30,0),""),""))</f>
        <v/>
      </c>
      <c r="L683" s="21">
        <f>IF(AND($J683="",$K683=""),"",MIN(IF($J683="",99999,$J683),IF($K683="",99999,$K683)))</f>
        <v/>
      </c>
      <c r="M683" s="16">
        <f>IF(AND($I683="",$J683=""),"",IF(OR(AND($I683&lt;&gt;"",N($I683)&lt;0),AND($J683&lt;&gt;"",N($J683)&lt;0)),"Overdue",IF(OR(AND($I683&lt;&gt;"",N($I683)&lt;=IFERROR(INDEX('Intervals'!$E$4:$E$33,MATCH($B683,'Intervals'!$A$4:$A$33,0)),500)),AND($J683&lt;&gt;"",N($J683)&lt;=IFERROR(INDEX('Intervals'!$F$4:$F$33,MATCH($B683,'Intervals'!$A$4:$A$33,0)),14))),"Due soon","OK")))</f>
        <v/>
      </c>
      <c r="N683" s="15" t="n"/>
      <c r="O683" s="22">
        <f>IF(OR($M683="",$M683="OK"),"",$L683+ROW()/100000)</f>
        <v/>
      </c>
    </row>
    <row r="684">
      <c r="A684" s="15" t="n"/>
      <c r="B684" s="15" t="n"/>
      <c r="C684" s="16">
        <f>IF($B684="","",IFERROR(INDEX('Intervals'!$B$4:$B$33,MATCH($B684,'Intervals'!$A$4:$A$33,0)),""))</f>
        <v/>
      </c>
      <c r="D684" s="17" t="n"/>
      <c r="E684" s="18" t="n"/>
      <c r="F684" s="19">
        <f>IF(OR($B684="",$E684=""),"",IFERROR(IF(AND(INDEX('Intervals'!$G$4:$G$33,MATCH($B684,'Intervals'!$A$4:$A$33,0))&lt;&gt;"No",N(INDEX('Intervals'!$C$4:$C$33,MATCH($B684,'Intervals'!$A$4:$A$33,0)))&gt;0),$E684+N(INDEX('Intervals'!$C$4:$C$33,MATCH($B684,'Intervals'!$A$4:$A$33,0))),""),""))</f>
        <v/>
      </c>
      <c r="G684" s="20">
        <f>IF(OR($B684="",$D684=""),"",IFERROR(IF(AND(INDEX('Intervals'!$G$4:$G$33,MATCH($B684,'Intervals'!$A$4:$A$33,0))&lt;&gt;"No",N(INDEX('Intervals'!$D$4:$D$33,MATCH($B684,'Intervals'!$A$4:$A$33,0)))&gt;0),EDATE($D684,N(INDEX('Intervals'!$D$4:$D$33,MATCH($B684,'Intervals'!$A$4:$A$33,0)))),""),""))</f>
        <v/>
      </c>
      <c r="H684" s="19">
        <f>IF($A684="","",IFERROR(IF(N(INDEX('Cars'!$H$4:$H$103,MATCH($A684,'Cars'!$A$4:$A$103,0)))&gt;0,INDEX('Cars'!$H$4:$H$103,MATCH($A684,'Cars'!$A$4:$A$103,0)),""),""))</f>
        <v/>
      </c>
      <c r="I684" s="19">
        <f>IF(OR($F684="",$H684=""),"",$F684-$H684)</f>
        <v/>
      </c>
      <c r="J684" s="21">
        <f>IF($G684="","",$G684-TODAY())</f>
        <v/>
      </c>
      <c r="K684" s="21">
        <f>IF($I684="","",IFERROR(IF(N(INDEX('Cars'!$J$4:$J$103,MATCH($A684,'Cars'!$A$4:$A$103,0)))&gt;0,ROUND($I684/INDEX('Cars'!$J$4:$J$103,MATCH($A684,'Cars'!$A$4:$A$103,0))*30,0),""),""))</f>
        <v/>
      </c>
      <c r="L684" s="21">
        <f>IF(AND($J684="",$K684=""),"",MIN(IF($J684="",99999,$J684),IF($K684="",99999,$K684)))</f>
        <v/>
      </c>
      <c r="M684" s="16">
        <f>IF(AND($I684="",$J684=""),"",IF(OR(AND($I684&lt;&gt;"",N($I684)&lt;0),AND($J684&lt;&gt;"",N($J684)&lt;0)),"Overdue",IF(OR(AND($I684&lt;&gt;"",N($I684)&lt;=IFERROR(INDEX('Intervals'!$E$4:$E$33,MATCH($B684,'Intervals'!$A$4:$A$33,0)),500)),AND($J684&lt;&gt;"",N($J684)&lt;=IFERROR(INDEX('Intervals'!$F$4:$F$33,MATCH($B684,'Intervals'!$A$4:$A$33,0)),14))),"Due soon","OK")))</f>
        <v/>
      </c>
      <c r="N684" s="15" t="n"/>
      <c r="O684" s="22">
        <f>IF(OR($M684="",$M684="OK"),"",$L684+ROW()/100000)</f>
        <v/>
      </c>
    </row>
    <row r="685">
      <c r="A685" s="15" t="n"/>
      <c r="B685" s="15" t="n"/>
      <c r="C685" s="16">
        <f>IF($B685="","",IFERROR(INDEX('Intervals'!$B$4:$B$33,MATCH($B685,'Intervals'!$A$4:$A$33,0)),""))</f>
        <v/>
      </c>
      <c r="D685" s="17" t="n"/>
      <c r="E685" s="18" t="n"/>
      <c r="F685" s="19">
        <f>IF(OR($B685="",$E685=""),"",IFERROR(IF(AND(INDEX('Intervals'!$G$4:$G$33,MATCH($B685,'Intervals'!$A$4:$A$33,0))&lt;&gt;"No",N(INDEX('Intervals'!$C$4:$C$33,MATCH($B685,'Intervals'!$A$4:$A$33,0)))&gt;0),$E685+N(INDEX('Intervals'!$C$4:$C$33,MATCH($B685,'Intervals'!$A$4:$A$33,0))),""),""))</f>
        <v/>
      </c>
      <c r="G685" s="20">
        <f>IF(OR($B685="",$D685=""),"",IFERROR(IF(AND(INDEX('Intervals'!$G$4:$G$33,MATCH($B685,'Intervals'!$A$4:$A$33,0))&lt;&gt;"No",N(INDEX('Intervals'!$D$4:$D$33,MATCH($B685,'Intervals'!$A$4:$A$33,0)))&gt;0),EDATE($D685,N(INDEX('Intervals'!$D$4:$D$33,MATCH($B685,'Intervals'!$A$4:$A$33,0)))),""),""))</f>
        <v/>
      </c>
      <c r="H685" s="19">
        <f>IF($A685="","",IFERROR(IF(N(INDEX('Cars'!$H$4:$H$103,MATCH($A685,'Cars'!$A$4:$A$103,0)))&gt;0,INDEX('Cars'!$H$4:$H$103,MATCH($A685,'Cars'!$A$4:$A$103,0)),""),""))</f>
        <v/>
      </c>
      <c r="I685" s="19">
        <f>IF(OR($F685="",$H685=""),"",$F685-$H685)</f>
        <v/>
      </c>
      <c r="J685" s="21">
        <f>IF($G685="","",$G685-TODAY())</f>
        <v/>
      </c>
      <c r="K685" s="21">
        <f>IF($I685="","",IFERROR(IF(N(INDEX('Cars'!$J$4:$J$103,MATCH($A685,'Cars'!$A$4:$A$103,0)))&gt;0,ROUND($I685/INDEX('Cars'!$J$4:$J$103,MATCH($A685,'Cars'!$A$4:$A$103,0))*30,0),""),""))</f>
        <v/>
      </c>
      <c r="L685" s="21">
        <f>IF(AND($J685="",$K685=""),"",MIN(IF($J685="",99999,$J685),IF($K685="",99999,$K685)))</f>
        <v/>
      </c>
      <c r="M685" s="16">
        <f>IF(AND($I685="",$J685=""),"",IF(OR(AND($I685&lt;&gt;"",N($I685)&lt;0),AND($J685&lt;&gt;"",N($J685)&lt;0)),"Overdue",IF(OR(AND($I685&lt;&gt;"",N($I685)&lt;=IFERROR(INDEX('Intervals'!$E$4:$E$33,MATCH($B685,'Intervals'!$A$4:$A$33,0)),500)),AND($J685&lt;&gt;"",N($J685)&lt;=IFERROR(INDEX('Intervals'!$F$4:$F$33,MATCH($B685,'Intervals'!$A$4:$A$33,0)),14))),"Due soon","OK")))</f>
        <v/>
      </c>
      <c r="N685" s="15" t="n"/>
      <c r="O685" s="22">
        <f>IF(OR($M685="",$M685="OK"),"",$L685+ROW()/100000)</f>
        <v/>
      </c>
    </row>
    <row r="686">
      <c r="A686" s="15" t="n"/>
      <c r="B686" s="15" t="n"/>
      <c r="C686" s="16">
        <f>IF($B686="","",IFERROR(INDEX('Intervals'!$B$4:$B$33,MATCH($B686,'Intervals'!$A$4:$A$33,0)),""))</f>
        <v/>
      </c>
      <c r="D686" s="17" t="n"/>
      <c r="E686" s="18" t="n"/>
      <c r="F686" s="19">
        <f>IF(OR($B686="",$E686=""),"",IFERROR(IF(AND(INDEX('Intervals'!$G$4:$G$33,MATCH($B686,'Intervals'!$A$4:$A$33,0))&lt;&gt;"No",N(INDEX('Intervals'!$C$4:$C$33,MATCH($B686,'Intervals'!$A$4:$A$33,0)))&gt;0),$E686+N(INDEX('Intervals'!$C$4:$C$33,MATCH($B686,'Intervals'!$A$4:$A$33,0))),""),""))</f>
        <v/>
      </c>
      <c r="G686" s="20">
        <f>IF(OR($B686="",$D686=""),"",IFERROR(IF(AND(INDEX('Intervals'!$G$4:$G$33,MATCH($B686,'Intervals'!$A$4:$A$33,0))&lt;&gt;"No",N(INDEX('Intervals'!$D$4:$D$33,MATCH($B686,'Intervals'!$A$4:$A$33,0)))&gt;0),EDATE($D686,N(INDEX('Intervals'!$D$4:$D$33,MATCH($B686,'Intervals'!$A$4:$A$33,0)))),""),""))</f>
        <v/>
      </c>
      <c r="H686" s="19">
        <f>IF($A686="","",IFERROR(IF(N(INDEX('Cars'!$H$4:$H$103,MATCH($A686,'Cars'!$A$4:$A$103,0)))&gt;0,INDEX('Cars'!$H$4:$H$103,MATCH($A686,'Cars'!$A$4:$A$103,0)),""),""))</f>
        <v/>
      </c>
      <c r="I686" s="19">
        <f>IF(OR($F686="",$H686=""),"",$F686-$H686)</f>
        <v/>
      </c>
      <c r="J686" s="21">
        <f>IF($G686="","",$G686-TODAY())</f>
        <v/>
      </c>
      <c r="K686" s="21">
        <f>IF($I686="","",IFERROR(IF(N(INDEX('Cars'!$J$4:$J$103,MATCH($A686,'Cars'!$A$4:$A$103,0)))&gt;0,ROUND($I686/INDEX('Cars'!$J$4:$J$103,MATCH($A686,'Cars'!$A$4:$A$103,0))*30,0),""),""))</f>
        <v/>
      </c>
      <c r="L686" s="21">
        <f>IF(AND($J686="",$K686=""),"",MIN(IF($J686="",99999,$J686),IF($K686="",99999,$K686)))</f>
        <v/>
      </c>
      <c r="M686" s="16">
        <f>IF(AND($I686="",$J686=""),"",IF(OR(AND($I686&lt;&gt;"",N($I686)&lt;0),AND($J686&lt;&gt;"",N($J686)&lt;0)),"Overdue",IF(OR(AND($I686&lt;&gt;"",N($I686)&lt;=IFERROR(INDEX('Intervals'!$E$4:$E$33,MATCH($B686,'Intervals'!$A$4:$A$33,0)),500)),AND($J686&lt;&gt;"",N($J686)&lt;=IFERROR(INDEX('Intervals'!$F$4:$F$33,MATCH($B686,'Intervals'!$A$4:$A$33,0)),14))),"Due soon","OK")))</f>
        <v/>
      </c>
      <c r="N686" s="15" t="n"/>
      <c r="O686" s="22">
        <f>IF(OR($M686="",$M686="OK"),"",$L686+ROW()/100000)</f>
        <v/>
      </c>
    </row>
    <row r="687">
      <c r="A687" s="15" t="n"/>
      <c r="B687" s="15" t="n"/>
      <c r="C687" s="16">
        <f>IF($B687="","",IFERROR(INDEX('Intervals'!$B$4:$B$33,MATCH($B687,'Intervals'!$A$4:$A$33,0)),""))</f>
        <v/>
      </c>
      <c r="D687" s="17" t="n"/>
      <c r="E687" s="18" t="n"/>
      <c r="F687" s="19">
        <f>IF(OR($B687="",$E687=""),"",IFERROR(IF(AND(INDEX('Intervals'!$G$4:$G$33,MATCH($B687,'Intervals'!$A$4:$A$33,0))&lt;&gt;"No",N(INDEX('Intervals'!$C$4:$C$33,MATCH($B687,'Intervals'!$A$4:$A$33,0)))&gt;0),$E687+N(INDEX('Intervals'!$C$4:$C$33,MATCH($B687,'Intervals'!$A$4:$A$33,0))),""),""))</f>
        <v/>
      </c>
      <c r="G687" s="20">
        <f>IF(OR($B687="",$D687=""),"",IFERROR(IF(AND(INDEX('Intervals'!$G$4:$G$33,MATCH($B687,'Intervals'!$A$4:$A$33,0))&lt;&gt;"No",N(INDEX('Intervals'!$D$4:$D$33,MATCH($B687,'Intervals'!$A$4:$A$33,0)))&gt;0),EDATE($D687,N(INDEX('Intervals'!$D$4:$D$33,MATCH($B687,'Intervals'!$A$4:$A$33,0)))),""),""))</f>
        <v/>
      </c>
      <c r="H687" s="19">
        <f>IF($A687="","",IFERROR(IF(N(INDEX('Cars'!$H$4:$H$103,MATCH($A687,'Cars'!$A$4:$A$103,0)))&gt;0,INDEX('Cars'!$H$4:$H$103,MATCH($A687,'Cars'!$A$4:$A$103,0)),""),""))</f>
        <v/>
      </c>
      <c r="I687" s="19">
        <f>IF(OR($F687="",$H687=""),"",$F687-$H687)</f>
        <v/>
      </c>
      <c r="J687" s="21">
        <f>IF($G687="","",$G687-TODAY())</f>
        <v/>
      </c>
      <c r="K687" s="21">
        <f>IF($I687="","",IFERROR(IF(N(INDEX('Cars'!$J$4:$J$103,MATCH($A687,'Cars'!$A$4:$A$103,0)))&gt;0,ROUND($I687/INDEX('Cars'!$J$4:$J$103,MATCH($A687,'Cars'!$A$4:$A$103,0))*30,0),""),""))</f>
        <v/>
      </c>
      <c r="L687" s="21">
        <f>IF(AND($J687="",$K687=""),"",MIN(IF($J687="",99999,$J687),IF($K687="",99999,$K687)))</f>
        <v/>
      </c>
      <c r="M687" s="16">
        <f>IF(AND($I687="",$J687=""),"",IF(OR(AND($I687&lt;&gt;"",N($I687)&lt;0),AND($J687&lt;&gt;"",N($J687)&lt;0)),"Overdue",IF(OR(AND($I687&lt;&gt;"",N($I687)&lt;=IFERROR(INDEX('Intervals'!$E$4:$E$33,MATCH($B687,'Intervals'!$A$4:$A$33,0)),500)),AND($J687&lt;&gt;"",N($J687)&lt;=IFERROR(INDEX('Intervals'!$F$4:$F$33,MATCH($B687,'Intervals'!$A$4:$A$33,0)),14))),"Due soon","OK")))</f>
        <v/>
      </c>
      <c r="N687" s="15" t="n"/>
      <c r="O687" s="22">
        <f>IF(OR($M687="",$M687="OK"),"",$L687+ROW()/100000)</f>
        <v/>
      </c>
    </row>
    <row r="688">
      <c r="A688" s="15" t="n"/>
      <c r="B688" s="15" t="n"/>
      <c r="C688" s="16">
        <f>IF($B688="","",IFERROR(INDEX('Intervals'!$B$4:$B$33,MATCH($B688,'Intervals'!$A$4:$A$33,0)),""))</f>
        <v/>
      </c>
      <c r="D688" s="17" t="n"/>
      <c r="E688" s="18" t="n"/>
      <c r="F688" s="19">
        <f>IF(OR($B688="",$E688=""),"",IFERROR(IF(AND(INDEX('Intervals'!$G$4:$G$33,MATCH($B688,'Intervals'!$A$4:$A$33,0))&lt;&gt;"No",N(INDEX('Intervals'!$C$4:$C$33,MATCH($B688,'Intervals'!$A$4:$A$33,0)))&gt;0),$E688+N(INDEX('Intervals'!$C$4:$C$33,MATCH($B688,'Intervals'!$A$4:$A$33,0))),""),""))</f>
        <v/>
      </c>
      <c r="G688" s="20">
        <f>IF(OR($B688="",$D688=""),"",IFERROR(IF(AND(INDEX('Intervals'!$G$4:$G$33,MATCH($B688,'Intervals'!$A$4:$A$33,0))&lt;&gt;"No",N(INDEX('Intervals'!$D$4:$D$33,MATCH($B688,'Intervals'!$A$4:$A$33,0)))&gt;0),EDATE($D688,N(INDEX('Intervals'!$D$4:$D$33,MATCH($B688,'Intervals'!$A$4:$A$33,0)))),""),""))</f>
        <v/>
      </c>
      <c r="H688" s="19">
        <f>IF($A688="","",IFERROR(IF(N(INDEX('Cars'!$H$4:$H$103,MATCH($A688,'Cars'!$A$4:$A$103,0)))&gt;0,INDEX('Cars'!$H$4:$H$103,MATCH($A688,'Cars'!$A$4:$A$103,0)),""),""))</f>
        <v/>
      </c>
      <c r="I688" s="19">
        <f>IF(OR($F688="",$H688=""),"",$F688-$H688)</f>
        <v/>
      </c>
      <c r="J688" s="21">
        <f>IF($G688="","",$G688-TODAY())</f>
        <v/>
      </c>
      <c r="K688" s="21">
        <f>IF($I688="","",IFERROR(IF(N(INDEX('Cars'!$J$4:$J$103,MATCH($A688,'Cars'!$A$4:$A$103,0)))&gt;0,ROUND($I688/INDEX('Cars'!$J$4:$J$103,MATCH($A688,'Cars'!$A$4:$A$103,0))*30,0),""),""))</f>
        <v/>
      </c>
      <c r="L688" s="21">
        <f>IF(AND($J688="",$K688=""),"",MIN(IF($J688="",99999,$J688),IF($K688="",99999,$K688)))</f>
        <v/>
      </c>
      <c r="M688" s="16">
        <f>IF(AND($I688="",$J688=""),"",IF(OR(AND($I688&lt;&gt;"",N($I688)&lt;0),AND($J688&lt;&gt;"",N($J688)&lt;0)),"Overdue",IF(OR(AND($I688&lt;&gt;"",N($I688)&lt;=IFERROR(INDEX('Intervals'!$E$4:$E$33,MATCH($B688,'Intervals'!$A$4:$A$33,0)),500)),AND($J688&lt;&gt;"",N($J688)&lt;=IFERROR(INDEX('Intervals'!$F$4:$F$33,MATCH($B688,'Intervals'!$A$4:$A$33,0)),14))),"Due soon","OK")))</f>
        <v/>
      </c>
      <c r="N688" s="15" t="n"/>
      <c r="O688" s="22">
        <f>IF(OR($M688="",$M688="OK"),"",$L688+ROW()/100000)</f>
        <v/>
      </c>
    </row>
    <row r="689">
      <c r="A689" s="15" t="n"/>
      <c r="B689" s="15" t="n"/>
      <c r="C689" s="16">
        <f>IF($B689="","",IFERROR(INDEX('Intervals'!$B$4:$B$33,MATCH($B689,'Intervals'!$A$4:$A$33,0)),""))</f>
        <v/>
      </c>
      <c r="D689" s="17" t="n"/>
      <c r="E689" s="18" t="n"/>
      <c r="F689" s="19">
        <f>IF(OR($B689="",$E689=""),"",IFERROR(IF(AND(INDEX('Intervals'!$G$4:$G$33,MATCH($B689,'Intervals'!$A$4:$A$33,0))&lt;&gt;"No",N(INDEX('Intervals'!$C$4:$C$33,MATCH($B689,'Intervals'!$A$4:$A$33,0)))&gt;0),$E689+N(INDEX('Intervals'!$C$4:$C$33,MATCH($B689,'Intervals'!$A$4:$A$33,0))),""),""))</f>
        <v/>
      </c>
      <c r="G689" s="20">
        <f>IF(OR($B689="",$D689=""),"",IFERROR(IF(AND(INDEX('Intervals'!$G$4:$G$33,MATCH($B689,'Intervals'!$A$4:$A$33,0))&lt;&gt;"No",N(INDEX('Intervals'!$D$4:$D$33,MATCH($B689,'Intervals'!$A$4:$A$33,0)))&gt;0),EDATE($D689,N(INDEX('Intervals'!$D$4:$D$33,MATCH($B689,'Intervals'!$A$4:$A$33,0)))),""),""))</f>
        <v/>
      </c>
      <c r="H689" s="19">
        <f>IF($A689="","",IFERROR(IF(N(INDEX('Cars'!$H$4:$H$103,MATCH($A689,'Cars'!$A$4:$A$103,0)))&gt;0,INDEX('Cars'!$H$4:$H$103,MATCH($A689,'Cars'!$A$4:$A$103,0)),""),""))</f>
        <v/>
      </c>
      <c r="I689" s="19">
        <f>IF(OR($F689="",$H689=""),"",$F689-$H689)</f>
        <v/>
      </c>
      <c r="J689" s="21">
        <f>IF($G689="","",$G689-TODAY())</f>
        <v/>
      </c>
      <c r="K689" s="21">
        <f>IF($I689="","",IFERROR(IF(N(INDEX('Cars'!$J$4:$J$103,MATCH($A689,'Cars'!$A$4:$A$103,0)))&gt;0,ROUND($I689/INDEX('Cars'!$J$4:$J$103,MATCH($A689,'Cars'!$A$4:$A$103,0))*30,0),""),""))</f>
        <v/>
      </c>
      <c r="L689" s="21">
        <f>IF(AND($J689="",$K689=""),"",MIN(IF($J689="",99999,$J689),IF($K689="",99999,$K689)))</f>
        <v/>
      </c>
      <c r="M689" s="16">
        <f>IF(AND($I689="",$J689=""),"",IF(OR(AND($I689&lt;&gt;"",N($I689)&lt;0),AND($J689&lt;&gt;"",N($J689)&lt;0)),"Overdue",IF(OR(AND($I689&lt;&gt;"",N($I689)&lt;=IFERROR(INDEX('Intervals'!$E$4:$E$33,MATCH($B689,'Intervals'!$A$4:$A$33,0)),500)),AND($J689&lt;&gt;"",N($J689)&lt;=IFERROR(INDEX('Intervals'!$F$4:$F$33,MATCH($B689,'Intervals'!$A$4:$A$33,0)),14))),"Due soon","OK")))</f>
        <v/>
      </c>
      <c r="N689" s="15" t="n"/>
      <c r="O689" s="22">
        <f>IF(OR($M689="",$M689="OK"),"",$L689+ROW()/100000)</f>
        <v/>
      </c>
    </row>
    <row r="690">
      <c r="A690" s="15" t="n"/>
      <c r="B690" s="15" t="n"/>
      <c r="C690" s="16">
        <f>IF($B690="","",IFERROR(INDEX('Intervals'!$B$4:$B$33,MATCH($B690,'Intervals'!$A$4:$A$33,0)),""))</f>
        <v/>
      </c>
      <c r="D690" s="17" t="n"/>
      <c r="E690" s="18" t="n"/>
      <c r="F690" s="19">
        <f>IF(OR($B690="",$E690=""),"",IFERROR(IF(AND(INDEX('Intervals'!$G$4:$G$33,MATCH($B690,'Intervals'!$A$4:$A$33,0))&lt;&gt;"No",N(INDEX('Intervals'!$C$4:$C$33,MATCH($B690,'Intervals'!$A$4:$A$33,0)))&gt;0),$E690+N(INDEX('Intervals'!$C$4:$C$33,MATCH($B690,'Intervals'!$A$4:$A$33,0))),""),""))</f>
        <v/>
      </c>
      <c r="G690" s="20">
        <f>IF(OR($B690="",$D690=""),"",IFERROR(IF(AND(INDEX('Intervals'!$G$4:$G$33,MATCH($B690,'Intervals'!$A$4:$A$33,0))&lt;&gt;"No",N(INDEX('Intervals'!$D$4:$D$33,MATCH($B690,'Intervals'!$A$4:$A$33,0)))&gt;0),EDATE($D690,N(INDEX('Intervals'!$D$4:$D$33,MATCH($B690,'Intervals'!$A$4:$A$33,0)))),""),""))</f>
        <v/>
      </c>
      <c r="H690" s="19">
        <f>IF($A690="","",IFERROR(IF(N(INDEX('Cars'!$H$4:$H$103,MATCH($A690,'Cars'!$A$4:$A$103,0)))&gt;0,INDEX('Cars'!$H$4:$H$103,MATCH($A690,'Cars'!$A$4:$A$103,0)),""),""))</f>
        <v/>
      </c>
      <c r="I690" s="19">
        <f>IF(OR($F690="",$H690=""),"",$F690-$H690)</f>
        <v/>
      </c>
      <c r="J690" s="21">
        <f>IF($G690="","",$G690-TODAY())</f>
        <v/>
      </c>
      <c r="K690" s="21">
        <f>IF($I690="","",IFERROR(IF(N(INDEX('Cars'!$J$4:$J$103,MATCH($A690,'Cars'!$A$4:$A$103,0)))&gt;0,ROUND($I690/INDEX('Cars'!$J$4:$J$103,MATCH($A690,'Cars'!$A$4:$A$103,0))*30,0),""),""))</f>
        <v/>
      </c>
      <c r="L690" s="21">
        <f>IF(AND($J690="",$K690=""),"",MIN(IF($J690="",99999,$J690),IF($K690="",99999,$K690)))</f>
        <v/>
      </c>
      <c r="M690" s="16">
        <f>IF(AND($I690="",$J690=""),"",IF(OR(AND($I690&lt;&gt;"",N($I690)&lt;0),AND($J690&lt;&gt;"",N($J690)&lt;0)),"Overdue",IF(OR(AND($I690&lt;&gt;"",N($I690)&lt;=IFERROR(INDEX('Intervals'!$E$4:$E$33,MATCH($B690,'Intervals'!$A$4:$A$33,0)),500)),AND($J690&lt;&gt;"",N($J690)&lt;=IFERROR(INDEX('Intervals'!$F$4:$F$33,MATCH($B690,'Intervals'!$A$4:$A$33,0)),14))),"Due soon","OK")))</f>
        <v/>
      </c>
      <c r="N690" s="15" t="n"/>
      <c r="O690" s="22">
        <f>IF(OR($M690="",$M690="OK"),"",$L690+ROW()/100000)</f>
        <v/>
      </c>
    </row>
    <row r="691">
      <c r="A691" s="15" t="n"/>
      <c r="B691" s="15" t="n"/>
      <c r="C691" s="16">
        <f>IF($B691="","",IFERROR(INDEX('Intervals'!$B$4:$B$33,MATCH($B691,'Intervals'!$A$4:$A$33,0)),""))</f>
        <v/>
      </c>
      <c r="D691" s="17" t="n"/>
      <c r="E691" s="18" t="n"/>
      <c r="F691" s="19">
        <f>IF(OR($B691="",$E691=""),"",IFERROR(IF(AND(INDEX('Intervals'!$G$4:$G$33,MATCH($B691,'Intervals'!$A$4:$A$33,0))&lt;&gt;"No",N(INDEX('Intervals'!$C$4:$C$33,MATCH($B691,'Intervals'!$A$4:$A$33,0)))&gt;0),$E691+N(INDEX('Intervals'!$C$4:$C$33,MATCH($B691,'Intervals'!$A$4:$A$33,0))),""),""))</f>
        <v/>
      </c>
      <c r="G691" s="20">
        <f>IF(OR($B691="",$D691=""),"",IFERROR(IF(AND(INDEX('Intervals'!$G$4:$G$33,MATCH($B691,'Intervals'!$A$4:$A$33,0))&lt;&gt;"No",N(INDEX('Intervals'!$D$4:$D$33,MATCH($B691,'Intervals'!$A$4:$A$33,0)))&gt;0),EDATE($D691,N(INDEX('Intervals'!$D$4:$D$33,MATCH($B691,'Intervals'!$A$4:$A$33,0)))),""),""))</f>
        <v/>
      </c>
      <c r="H691" s="19">
        <f>IF($A691="","",IFERROR(IF(N(INDEX('Cars'!$H$4:$H$103,MATCH($A691,'Cars'!$A$4:$A$103,0)))&gt;0,INDEX('Cars'!$H$4:$H$103,MATCH($A691,'Cars'!$A$4:$A$103,0)),""),""))</f>
        <v/>
      </c>
      <c r="I691" s="19">
        <f>IF(OR($F691="",$H691=""),"",$F691-$H691)</f>
        <v/>
      </c>
      <c r="J691" s="21">
        <f>IF($G691="","",$G691-TODAY())</f>
        <v/>
      </c>
      <c r="K691" s="21">
        <f>IF($I691="","",IFERROR(IF(N(INDEX('Cars'!$J$4:$J$103,MATCH($A691,'Cars'!$A$4:$A$103,0)))&gt;0,ROUND($I691/INDEX('Cars'!$J$4:$J$103,MATCH($A691,'Cars'!$A$4:$A$103,0))*30,0),""),""))</f>
        <v/>
      </c>
      <c r="L691" s="21">
        <f>IF(AND($J691="",$K691=""),"",MIN(IF($J691="",99999,$J691),IF($K691="",99999,$K691)))</f>
        <v/>
      </c>
      <c r="M691" s="16">
        <f>IF(AND($I691="",$J691=""),"",IF(OR(AND($I691&lt;&gt;"",N($I691)&lt;0),AND($J691&lt;&gt;"",N($J691)&lt;0)),"Overdue",IF(OR(AND($I691&lt;&gt;"",N($I691)&lt;=IFERROR(INDEX('Intervals'!$E$4:$E$33,MATCH($B691,'Intervals'!$A$4:$A$33,0)),500)),AND($J691&lt;&gt;"",N($J691)&lt;=IFERROR(INDEX('Intervals'!$F$4:$F$33,MATCH($B691,'Intervals'!$A$4:$A$33,0)),14))),"Due soon","OK")))</f>
        <v/>
      </c>
      <c r="N691" s="15" t="n"/>
      <c r="O691" s="22">
        <f>IF(OR($M691="",$M691="OK"),"",$L691+ROW()/100000)</f>
        <v/>
      </c>
    </row>
    <row r="692">
      <c r="A692" s="15" t="n"/>
      <c r="B692" s="15" t="n"/>
      <c r="C692" s="16">
        <f>IF($B692="","",IFERROR(INDEX('Intervals'!$B$4:$B$33,MATCH($B692,'Intervals'!$A$4:$A$33,0)),""))</f>
        <v/>
      </c>
      <c r="D692" s="17" t="n"/>
      <c r="E692" s="18" t="n"/>
      <c r="F692" s="19">
        <f>IF(OR($B692="",$E692=""),"",IFERROR(IF(AND(INDEX('Intervals'!$G$4:$G$33,MATCH($B692,'Intervals'!$A$4:$A$33,0))&lt;&gt;"No",N(INDEX('Intervals'!$C$4:$C$33,MATCH($B692,'Intervals'!$A$4:$A$33,0)))&gt;0),$E692+N(INDEX('Intervals'!$C$4:$C$33,MATCH($B692,'Intervals'!$A$4:$A$33,0))),""),""))</f>
        <v/>
      </c>
      <c r="G692" s="20">
        <f>IF(OR($B692="",$D692=""),"",IFERROR(IF(AND(INDEX('Intervals'!$G$4:$G$33,MATCH($B692,'Intervals'!$A$4:$A$33,0))&lt;&gt;"No",N(INDEX('Intervals'!$D$4:$D$33,MATCH($B692,'Intervals'!$A$4:$A$33,0)))&gt;0),EDATE($D692,N(INDEX('Intervals'!$D$4:$D$33,MATCH($B692,'Intervals'!$A$4:$A$33,0)))),""),""))</f>
        <v/>
      </c>
      <c r="H692" s="19">
        <f>IF($A692="","",IFERROR(IF(N(INDEX('Cars'!$H$4:$H$103,MATCH($A692,'Cars'!$A$4:$A$103,0)))&gt;0,INDEX('Cars'!$H$4:$H$103,MATCH($A692,'Cars'!$A$4:$A$103,0)),""),""))</f>
        <v/>
      </c>
      <c r="I692" s="19">
        <f>IF(OR($F692="",$H692=""),"",$F692-$H692)</f>
        <v/>
      </c>
      <c r="J692" s="21">
        <f>IF($G692="","",$G692-TODAY())</f>
        <v/>
      </c>
      <c r="K692" s="21">
        <f>IF($I692="","",IFERROR(IF(N(INDEX('Cars'!$J$4:$J$103,MATCH($A692,'Cars'!$A$4:$A$103,0)))&gt;0,ROUND($I692/INDEX('Cars'!$J$4:$J$103,MATCH($A692,'Cars'!$A$4:$A$103,0))*30,0),""),""))</f>
        <v/>
      </c>
      <c r="L692" s="21">
        <f>IF(AND($J692="",$K692=""),"",MIN(IF($J692="",99999,$J692),IF($K692="",99999,$K692)))</f>
        <v/>
      </c>
      <c r="M692" s="16">
        <f>IF(AND($I692="",$J692=""),"",IF(OR(AND($I692&lt;&gt;"",N($I692)&lt;0),AND($J692&lt;&gt;"",N($J692)&lt;0)),"Overdue",IF(OR(AND($I692&lt;&gt;"",N($I692)&lt;=IFERROR(INDEX('Intervals'!$E$4:$E$33,MATCH($B692,'Intervals'!$A$4:$A$33,0)),500)),AND($J692&lt;&gt;"",N($J692)&lt;=IFERROR(INDEX('Intervals'!$F$4:$F$33,MATCH($B692,'Intervals'!$A$4:$A$33,0)),14))),"Due soon","OK")))</f>
        <v/>
      </c>
      <c r="N692" s="15" t="n"/>
      <c r="O692" s="22">
        <f>IF(OR($M692="",$M692="OK"),"",$L692+ROW()/100000)</f>
        <v/>
      </c>
    </row>
    <row r="693">
      <c r="A693" s="15" t="n"/>
      <c r="B693" s="15" t="n"/>
      <c r="C693" s="16">
        <f>IF($B693="","",IFERROR(INDEX('Intervals'!$B$4:$B$33,MATCH($B693,'Intervals'!$A$4:$A$33,0)),""))</f>
        <v/>
      </c>
      <c r="D693" s="17" t="n"/>
      <c r="E693" s="18" t="n"/>
      <c r="F693" s="19">
        <f>IF(OR($B693="",$E693=""),"",IFERROR(IF(AND(INDEX('Intervals'!$G$4:$G$33,MATCH($B693,'Intervals'!$A$4:$A$33,0))&lt;&gt;"No",N(INDEX('Intervals'!$C$4:$C$33,MATCH($B693,'Intervals'!$A$4:$A$33,0)))&gt;0),$E693+N(INDEX('Intervals'!$C$4:$C$33,MATCH($B693,'Intervals'!$A$4:$A$33,0))),""),""))</f>
        <v/>
      </c>
      <c r="G693" s="20">
        <f>IF(OR($B693="",$D693=""),"",IFERROR(IF(AND(INDEX('Intervals'!$G$4:$G$33,MATCH($B693,'Intervals'!$A$4:$A$33,0))&lt;&gt;"No",N(INDEX('Intervals'!$D$4:$D$33,MATCH($B693,'Intervals'!$A$4:$A$33,0)))&gt;0),EDATE($D693,N(INDEX('Intervals'!$D$4:$D$33,MATCH($B693,'Intervals'!$A$4:$A$33,0)))),""),""))</f>
        <v/>
      </c>
      <c r="H693" s="19">
        <f>IF($A693="","",IFERROR(IF(N(INDEX('Cars'!$H$4:$H$103,MATCH($A693,'Cars'!$A$4:$A$103,0)))&gt;0,INDEX('Cars'!$H$4:$H$103,MATCH($A693,'Cars'!$A$4:$A$103,0)),""),""))</f>
        <v/>
      </c>
      <c r="I693" s="19">
        <f>IF(OR($F693="",$H693=""),"",$F693-$H693)</f>
        <v/>
      </c>
      <c r="J693" s="21">
        <f>IF($G693="","",$G693-TODAY())</f>
        <v/>
      </c>
      <c r="K693" s="21">
        <f>IF($I693="","",IFERROR(IF(N(INDEX('Cars'!$J$4:$J$103,MATCH($A693,'Cars'!$A$4:$A$103,0)))&gt;0,ROUND($I693/INDEX('Cars'!$J$4:$J$103,MATCH($A693,'Cars'!$A$4:$A$103,0))*30,0),""),""))</f>
        <v/>
      </c>
      <c r="L693" s="21">
        <f>IF(AND($J693="",$K693=""),"",MIN(IF($J693="",99999,$J693),IF($K693="",99999,$K693)))</f>
        <v/>
      </c>
      <c r="M693" s="16">
        <f>IF(AND($I693="",$J693=""),"",IF(OR(AND($I693&lt;&gt;"",N($I693)&lt;0),AND($J693&lt;&gt;"",N($J693)&lt;0)),"Overdue",IF(OR(AND($I693&lt;&gt;"",N($I693)&lt;=IFERROR(INDEX('Intervals'!$E$4:$E$33,MATCH($B693,'Intervals'!$A$4:$A$33,0)),500)),AND($J693&lt;&gt;"",N($J693)&lt;=IFERROR(INDEX('Intervals'!$F$4:$F$33,MATCH($B693,'Intervals'!$A$4:$A$33,0)),14))),"Due soon","OK")))</f>
        <v/>
      </c>
      <c r="N693" s="15" t="n"/>
      <c r="O693" s="22">
        <f>IF(OR($M693="",$M693="OK"),"",$L693+ROW()/100000)</f>
        <v/>
      </c>
    </row>
    <row r="694">
      <c r="A694" s="15" t="n"/>
      <c r="B694" s="15" t="n"/>
      <c r="C694" s="16">
        <f>IF($B694="","",IFERROR(INDEX('Intervals'!$B$4:$B$33,MATCH($B694,'Intervals'!$A$4:$A$33,0)),""))</f>
        <v/>
      </c>
      <c r="D694" s="17" t="n"/>
      <c r="E694" s="18" t="n"/>
      <c r="F694" s="19">
        <f>IF(OR($B694="",$E694=""),"",IFERROR(IF(AND(INDEX('Intervals'!$G$4:$G$33,MATCH($B694,'Intervals'!$A$4:$A$33,0))&lt;&gt;"No",N(INDEX('Intervals'!$C$4:$C$33,MATCH($B694,'Intervals'!$A$4:$A$33,0)))&gt;0),$E694+N(INDEX('Intervals'!$C$4:$C$33,MATCH($B694,'Intervals'!$A$4:$A$33,0))),""),""))</f>
        <v/>
      </c>
      <c r="G694" s="20">
        <f>IF(OR($B694="",$D694=""),"",IFERROR(IF(AND(INDEX('Intervals'!$G$4:$G$33,MATCH($B694,'Intervals'!$A$4:$A$33,0))&lt;&gt;"No",N(INDEX('Intervals'!$D$4:$D$33,MATCH($B694,'Intervals'!$A$4:$A$33,0)))&gt;0),EDATE($D694,N(INDEX('Intervals'!$D$4:$D$33,MATCH($B694,'Intervals'!$A$4:$A$33,0)))),""),""))</f>
        <v/>
      </c>
      <c r="H694" s="19">
        <f>IF($A694="","",IFERROR(IF(N(INDEX('Cars'!$H$4:$H$103,MATCH($A694,'Cars'!$A$4:$A$103,0)))&gt;0,INDEX('Cars'!$H$4:$H$103,MATCH($A694,'Cars'!$A$4:$A$103,0)),""),""))</f>
        <v/>
      </c>
      <c r="I694" s="19">
        <f>IF(OR($F694="",$H694=""),"",$F694-$H694)</f>
        <v/>
      </c>
      <c r="J694" s="21">
        <f>IF($G694="","",$G694-TODAY())</f>
        <v/>
      </c>
      <c r="K694" s="21">
        <f>IF($I694="","",IFERROR(IF(N(INDEX('Cars'!$J$4:$J$103,MATCH($A694,'Cars'!$A$4:$A$103,0)))&gt;0,ROUND($I694/INDEX('Cars'!$J$4:$J$103,MATCH($A694,'Cars'!$A$4:$A$103,0))*30,0),""),""))</f>
        <v/>
      </c>
      <c r="L694" s="21">
        <f>IF(AND($J694="",$K694=""),"",MIN(IF($J694="",99999,$J694),IF($K694="",99999,$K694)))</f>
        <v/>
      </c>
      <c r="M694" s="16">
        <f>IF(AND($I694="",$J694=""),"",IF(OR(AND($I694&lt;&gt;"",N($I694)&lt;0),AND($J694&lt;&gt;"",N($J694)&lt;0)),"Overdue",IF(OR(AND($I694&lt;&gt;"",N($I694)&lt;=IFERROR(INDEX('Intervals'!$E$4:$E$33,MATCH($B694,'Intervals'!$A$4:$A$33,0)),500)),AND($J694&lt;&gt;"",N($J694)&lt;=IFERROR(INDEX('Intervals'!$F$4:$F$33,MATCH($B694,'Intervals'!$A$4:$A$33,0)),14))),"Due soon","OK")))</f>
        <v/>
      </c>
      <c r="N694" s="15" t="n"/>
      <c r="O694" s="22">
        <f>IF(OR($M694="",$M694="OK"),"",$L694+ROW()/100000)</f>
        <v/>
      </c>
    </row>
    <row r="695">
      <c r="A695" s="15" t="n"/>
      <c r="B695" s="15" t="n"/>
      <c r="C695" s="16">
        <f>IF($B695="","",IFERROR(INDEX('Intervals'!$B$4:$B$33,MATCH($B695,'Intervals'!$A$4:$A$33,0)),""))</f>
        <v/>
      </c>
      <c r="D695" s="17" t="n"/>
      <c r="E695" s="18" t="n"/>
      <c r="F695" s="19">
        <f>IF(OR($B695="",$E695=""),"",IFERROR(IF(AND(INDEX('Intervals'!$G$4:$G$33,MATCH($B695,'Intervals'!$A$4:$A$33,0))&lt;&gt;"No",N(INDEX('Intervals'!$C$4:$C$33,MATCH($B695,'Intervals'!$A$4:$A$33,0)))&gt;0),$E695+N(INDEX('Intervals'!$C$4:$C$33,MATCH($B695,'Intervals'!$A$4:$A$33,0))),""),""))</f>
        <v/>
      </c>
      <c r="G695" s="20">
        <f>IF(OR($B695="",$D695=""),"",IFERROR(IF(AND(INDEX('Intervals'!$G$4:$G$33,MATCH($B695,'Intervals'!$A$4:$A$33,0))&lt;&gt;"No",N(INDEX('Intervals'!$D$4:$D$33,MATCH($B695,'Intervals'!$A$4:$A$33,0)))&gt;0),EDATE($D695,N(INDEX('Intervals'!$D$4:$D$33,MATCH($B695,'Intervals'!$A$4:$A$33,0)))),""),""))</f>
        <v/>
      </c>
      <c r="H695" s="19">
        <f>IF($A695="","",IFERROR(IF(N(INDEX('Cars'!$H$4:$H$103,MATCH($A695,'Cars'!$A$4:$A$103,0)))&gt;0,INDEX('Cars'!$H$4:$H$103,MATCH($A695,'Cars'!$A$4:$A$103,0)),""),""))</f>
        <v/>
      </c>
      <c r="I695" s="19">
        <f>IF(OR($F695="",$H695=""),"",$F695-$H695)</f>
        <v/>
      </c>
      <c r="J695" s="21">
        <f>IF($G695="","",$G695-TODAY())</f>
        <v/>
      </c>
      <c r="K695" s="21">
        <f>IF($I695="","",IFERROR(IF(N(INDEX('Cars'!$J$4:$J$103,MATCH($A695,'Cars'!$A$4:$A$103,0)))&gt;0,ROUND($I695/INDEX('Cars'!$J$4:$J$103,MATCH($A695,'Cars'!$A$4:$A$103,0))*30,0),""),""))</f>
        <v/>
      </c>
      <c r="L695" s="21">
        <f>IF(AND($J695="",$K695=""),"",MIN(IF($J695="",99999,$J695),IF($K695="",99999,$K695)))</f>
        <v/>
      </c>
      <c r="M695" s="16">
        <f>IF(AND($I695="",$J695=""),"",IF(OR(AND($I695&lt;&gt;"",N($I695)&lt;0),AND($J695&lt;&gt;"",N($J695)&lt;0)),"Overdue",IF(OR(AND($I695&lt;&gt;"",N($I695)&lt;=IFERROR(INDEX('Intervals'!$E$4:$E$33,MATCH($B695,'Intervals'!$A$4:$A$33,0)),500)),AND($J695&lt;&gt;"",N($J695)&lt;=IFERROR(INDEX('Intervals'!$F$4:$F$33,MATCH($B695,'Intervals'!$A$4:$A$33,0)),14))),"Due soon","OK")))</f>
        <v/>
      </c>
      <c r="N695" s="15" t="n"/>
      <c r="O695" s="22">
        <f>IF(OR($M695="",$M695="OK"),"",$L695+ROW()/100000)</f>
        <v/>
      </c>
    </row>
    <row r="696">
      <c r="A696" s="15" t="n"/>
      <c r="B696" s="15" t="n"/>
      <c r="C696" s="16">
        <f>IF($B696="","",IFERROR(INDEX('Intervals'!$B$4:$B$33,MATCH($B696,'Intervals'!$A$4:$A$33,0)),""))</f>
        <v/>
      </c>
      <c r="D696" s="17" t="n"/>
      <c r="E696" s="18" t="n"/>
      <c r="F696" s="19">
        <f>IF(OR($B696="",$E696=""),"",IFERROR(IF(AND(INDEX('Intervals'!$G$4:$G$33,MATCH($B696,'Intervals'!$A$4:$A$33,0))&lt;&gt;"No",N(INDEX('Intervals'!$C$4:$C$33,MATCH($B696,'Intervals'!$A$4:$A$33,0)))&gt;0),$E696+N(INDEX('Intervals'!$C$4:$C$33,MATCH($B696,'Intervals'!$A$4:$A$33,0))),""),""))</f>
        <v/>
      </c>
      <c r="G696" s="20">
        <f>IF(OR($B696="",$D696=""),"",IFERROR(IF(AND(INDEX('Intervals'!$G$4:$G$33,MATCH($B696,'Intervals'!$A$4:$A$33,0))&lt;&gt;"No",N(INDEX('Intervals'!$D$4:$D$33,MATCH($B696,'Intervals'!$A$4:$A$33,0)))&gt;0),EDATE($D696,N(INDEX('Intervals'!$D$4:$D$33,MATCH($B696,'Intervals'!$A$4:$A$33,0)))),""),""))</f>
        <v/>
      </c>
      <c r="H696" s="19">
        <f>IF($A696="","",IFERROR(IF(N(INDEX('Cars'!$H$4:$H$103,MATCH($A696,'Cars'!$A$4:$A$103,0)))&gt;0,INDEX('Cars'!$H$4:$H$103,MATCH($A696,'Cars'!$A$4:$A$103,0)),""),""))</f>
        <v/>
      </c>
      <c r="I696" s="19">
        <f>IF(OR($F696="",$H696=""),"",$F696-$H696)</f>
        <v/>
      </c>
      <c r="J696" s="21">
        <f>IF($G696="","",$G696-TODAY())</f>
        <v/>
      </c>
      <c r="K696" s="21">
        <f>IF($I696="","",IFERROR(IF(N(INDEX('Cars'!$J$4:$J$103,MATCH($A696,'Cars'!$A$4:$A$103,0)))&gt;0,ROUND($I696/INDEX('Cars'!$J$4:$J$103,MATCH($A696,'Cars'!$A$4:$A$103,0))*30,0),""),""))</f>
        <v/>
      </c>
      <c r="L696" s="21">
        <f>IF(AND($J696="",$K696=""),"",MIN(IF($J696="",99999,$J696),IF($K696="",99999,$K696)))</f>
        <v/>
      </c>
      <c r="M696" s="16">
        <f>IF(AND($I696="",$J696=""),"",IF(OR(AND($I696&lt;&gt;"",N($I696)&lt;0),AND($J696&lt;&gt;"",N($J696)&lt;0)),"Overdue",IF(OR(AND($I696&lt;&gt;"",N($I696)&lt;=IFERROR(INDEX('Intervals'!$E$4:$E$33,MATCH($B696,'Intervals'!$A$4:$A$33,0)),500)),AND($J696&lt;&gt;"",N($J696)&lt;=IFERROR(INDEX('Intervals'!$F$4:$F$33,MATCH($B696,'Intervals'!$A$4:$A$33,0)),14))),"Due soon","OK")))</f>
        <v/>
      </c>
      <c r="N696" s="15" t="n"/>
      <c r="O696" s="22">
        <f>IF(OR($M696="",$M696="OK"),"",$L696+ROW()/100000)</f>
        <v/>
      </c>
    </row>
    <row r="697">
      <c r="A697" s="15" t="n"/>
      <c r="B697" s="15" t="n"/>
      <c r="C697" s="16">
        <f>IF($B697="","",IFERROR(INDEX('Intervals'!$B$4:$B$33,MATCH($B697,'Intervals'!$A$4:$A$33,0)),""))</f>
        <v/>
      </c>
      <c r="D697" s="17" t="n"/>
      <c r="E697" s="18" t="n"/>
      <c r="F697" s="19">
        <f>IF(OR($B697="",$E697=""),"",IFERROR(IF(AND(INDEX('Intervals'!$G$4:$G$33,MATCH($B697,'Intervals'!$A$4:$A$33,0))&lt;&gt;"No",N(INDEX('Intervals'!$C$4:$C$33,MATCH($B697,'Intervals'!$A$4:$A$33,0)))&gt;0),$E697+N(INDEX('Intervals'!$C$4:$C$33,MATCH($B697,'Intervals'!$A$4:$A$33,0))),""),""))</f>
        <v/>
      </c>
      <c r="G697" s="20">
        <f>IF(OR($B697="",$D697=""),"",IFERROR(IF(AND(INDEX('Intervals'!$G$4:$G$33,MATCH($B697,'Intervals'!$A$4:$A$33,0))&lt;&gt;"No",N(INDEX('Intervals'!$D$4:$D$33,MATCH($B697,'Intervals'!$A$4:$A$33,0)))&gt;0),EDATE($D697,N(INDEX('Intervals'!$D$4:$D$33,MATCH($B697,'Intervals'!$A$4:$A$33,0)))),""),""))</f>
        <v/>
      </c>
      <c r="H697" s="19">
        <f>IF($A697="","",IFERROR(IF(N(INDEX('Cars'!$H$4:$H$103,MATCH($A697,'Cars'!$A$4:$A$103,0)))&gt;0,INDEX('Cars'!$H$4:$H$103,MATCH($A697,'Cars'!$A$4:$A$103,0)),""),""))</f>
        <v/>
      </c>
      <c r="I697" s="19">
        <f>IF(OR($F697="",$H697=""),"",$F697-$H697)</f>
        <v/>
      </c>
      <c r="J697" s="21">
        <f>IF($G697="","",$G697-TODAY())</f>
        <v/>
      </c>
      <c r="K697" s="21">
        <f>IF($I697="","",IFERROR(IF(N(INDEX('Cars'!$J$4:$J$103,MATCH($A697,'Cars'!$A$4:$A$103,0)))&gt;0,ROUND($I697/INDEX('Cars'!$J$4:$J$103,MATCH($A697,'Cars'!$A$4:$A$103,0))*30,0),""),""))</f>
        <v/>
      </c>
      <c r="L697" s="21">
        <f>IF(AND($J697="",$K697=""),"",MIN(IF($J697="",99999,$J697),IF($K697="",99999,$K697)))</f>
        <v/>
      </c>
      <c r="M697" s="16">
        <f>IF(AND($I697="",$J697=""),"",IF(OR(AND($I697&lt;&gt;"",N($I697)&lt;0),AND($J697&lt;&gt;"",N($J697)&lt;0)),"Overdue",IF(OR(AND($I697&lt;&gt;"",N($I697)&lt;=IFERROR(INDEX('Intervals'!$E$4:$E$33,MATCH($B697,'Intervals'!$A$4:$A$33,0)),500)),AND($J697&lt;&gt;"",N($J697)&lt;=IFERROR(INDEX('Intervals'!$F$4:$F$33,MATCH($B697,'Intervals'!$A$4:$A$33,0)),14))),"Due soon","OK")))</f>
        <v/>
      </c>
      <c r="N697" s="15" t="n"/>
      <c r="O697" s="22">
        <f>IF(OR($M697="",$M697="OK"),"",$L697+ROW()/100000)</f>
        <v/>
      </c>
    </row>
    <row r="698">
      <c r="A698" s="15" t="n"/>
      <c r="B698" s="15" t="n"/>
      <c r="C698" s="16">
        <f>IF($B698="","",IFERROR(INDEX('Intervals'!$B$4:$B$33,MATCH($B698,'Intervals'!$A$4:$A$33,0)),""))</f>
        <v/>
      </c>
      <c r="D698" s="17" t="n"/>
      <c r="E698" s="18" t="n"/>
      <c r="F698" s="19">
        <f>IF(OR($B698="",$E698=""),"",IFERROR(IF(AND(INDEX('Intervals'!$G$4:$G$33,MATCH($B698,'Intervals'!$A$4:$A$33,0))&lt;&gt;"No",N(INDEX('Intervals'!$C$4:$C$33,MATCH($B698,'Intervals'!$A$4:$A$33,0)))&gt;0),$E698+N(INDEX('Intervals'!$C$4:$C$33,MATCH($B698,'Intervals'!$A$4:$A$33,0))),""),""))</f>
        <v/>
      </c>
      <c r="G698" s="20">
        <f>IF(OR($B698="",$D698=""),"",IFERROR(IF(AND(INDEX('Intervals'!$G$4:$G$33,MATCH($B698,'Intervals'!$A$4:$A$33,0))&lt;&gt;"No",N(INDEX('Intervals'!$D$4:$D$33,MATCH($B698,'Intervals'!$A$4:$A$33,0)))&gt;0),EDATE($D698,N(INDEX('Intervals'!$D$4:$D$33,MATCH($B698,'Intervals'!$A$4:$A$33,0)))),""),""))</f>
        <v/>
      </c>
      <c r="H698" s="19">
        <f>IF($A698="","",IFERROR(IF(N(INDEX('Cars'!$H$4:$H$103,MATCH($A698,'Cars'!$A$4:$A$103,0)))&gt;0,INDEX('Cars'!$H$4:$H$103,MATCH($A698,'Cars'!$A$4:$A$103,0)),""),""))</f>
        <v/>
      </c>
      <c r="I698" s="19">
        <f>IF(OR($F698="",$H698=""),"",$F698-$H698)</f>
        <v/>
      </c>
      <c r="J698" s="21">
        <f>IF($G698="","",$G698-TODAY())</f>
        <v/>
      </c>
      <c r="K698" s="21">
        <f>IF($I698="","",IFERROR(IF(N(INDEX('Cars'!$J$4:$J$103,MATCH($A698,'Cars'!$A$4:$A$103,0)))&gt;0,ROUND($I698/INDEX('Cars'!$J$4:$J$103,MATCH($A698,'Cars'!$A$4:$A$103,0))*30,0),""),""))</f>
        <v/>
      </c>
      <c r="L698" s="21">
        <f>IF(AND($J698="",$K698=""),"",MIN(IF($J698="",99999,$J698),IF($K698="",99999,$K698)))</f>
        <v/>
      </c>
      <c r="M698" s="16">
        <f>IF(AND($I698="",$J698=""),"",IF(OR(AND($I698&lt;&gt;"",N($I698)&lt;0),AND($J698&lt;&gt;"",N($J698)&lt;0)),"Overdue",IF(OR(AND($I698&lt;&gt;"",N($I698)&lt;=IFERROR(INDEX('Intervals'!$E$4:$E$33,MATCH($B698,'Intervals'!$A$4:$A$33,0)),500)),AND($J698&lt;&gt;"",N($J698)&lt;=IFERROR(INDEX('Intervals'!$F$4:$F$33,MATCH($B698,'Intervals'!$A$4:$A$33,0)),14))),"Due soon","OK")))</f>
        <v/>
      </c>
      <c r="N698" s="15" t="n"/>
      <c r="O698" s="22">
        <f>IF(OR($M698="",$M698="OK"),"",$L698+ROW()/100000)</f>
        <v/>
      </c>
    </row>
    <row r="699">
      <c r="A699" s="15" t="n"/>
      <c r="B699" s="15" t="n"/>
      <c r="C699" s="16">
        <f>IF($B699="","",IFERROR(INDEX('Intervals'!$B$4:$B$33,MATCH($B699,'Intervals'!$A$4:$A$33,0)),""))</f>
        <v/>
      </c>
      <c r="D699" s="17" t="n"/>
      <c r="E699" s="18" t="n"/>
      <c r="F699" s="19">
        <f>IF(OR($B699="",$E699=""),"",IFERROR(IF(AND(INDEX('Intervals'!$G$4:$G$33,MATCH($B699,'Intervals'!$A$4:$A$33,0))&lt;&gt;"No",N(INDEX('Intervals'!$C$4:$C$33,MATCH($B699,'Intervals'!$A$4:$A$33,0)))&gt;0),$E699+N(INDEX('Intervals'!$C$4:$C$33,MATCH($B699,'Intervals'!$A$4:$A$33,0))),""),""))</f>
        <v/>
      </c>
      <c r="G699" s="20">
        <f>IF(OR($B699="",$D699=""),"",IFERROR(IF(AND(INDEX('Intervals'!$G$4:$G$33,MATCH($B699,'Intervals'!$A$4:$A$33,0))&lt;&gt;"No",N(INDEX('Intervals'!$D$4:$D$33,MATCH($B699,'Intervals'!$A$4:$A$33,0)))&gt;0),EDATE($D699,N(INDEX('Intervals'!$D$4:$D$33,MATCH($B699,'Intervals'!$A$4:$A$33,0)))),""),""))</f>
        <v/>
      </c>
      <c r="H699" s="19">
        <f>IF($A699="","",IFERROR(IF(N(INDEX('Cars'!$H$4:$H$103,MATCH($A699,'Cars'!$A$4:$A$103,0)))&gt;0,INDEX('Cars'!$H$4:$H$103,MATCH($A699,'Cars'!$A$4:$A$103,0)),""),""))</f>
        <v/>
      </c>
      <c r="I699" s="19">
        <f>IF(OR($F699="",$H699=""),"",$F699-$H699)</f>
        <v/>
      </c>
      <c r="J699" s="21">
        <f>IF($G699="","",$G699-TODAY())</f>
        <v/>
      </c>
      <c r="K699" s="21">
        <f>IF($I699="","",IFERROR(IF(N(INDEX('Cars'!$J$4:$J$103,MATCH($A699,'Cars'!$A$4:$A$103,0)))&gt;0,ROUND($I699/INDEX('Cars'!$J$4:$J$103,MATCH($A699,'Cars'!$A$4:$A$103,0))*30,0),""),""))</f>
        <v/>
      </c>
      <c r="L699" s="21">
        <f>IF(AND($J699="",$K699=""),"",MIN(IF($J699="",99999,$J699),IF($K699="",99999,$K699)))</f>
        <v/>
      </c>
      <c r="M699" s="16">
        <f>IF(AND($I699="",$J699=""),"",IF(OR(AND($I699&lt;&gt;"",N($I699)&lt;0),AND($J699&lt;&gt;"",N($J699)&lt;0)),"Overdue",IF(OR(AND($I699&lt;&gt;"",N($I699)&lt;=IFERROR(INDEX('Intervals'!$E$4:$E$33,MATCH($B699,'Intervals'!$A$4:$A$33,0)),500)),AND($J699&lt;&gt;"",N($J699)&lt;=IFERROR(INDEX('Intervals'!$F$4:$F$33,MATCH($B699,'Intervals'!$A$4:$A$33,0)),14))),"Due soon","OK")))</f>
        <v/>
      </c>
      <c r="N699" s="15" t="n"/>
      <c r="O699" s="22">
        <f>IF(OR($M699="",$M699="OK"),"",$L699+ROW()/100000)</f>
        <v/>
      </c>
    </row>
    <row r="700">
      <c r="A700" s="15" t="n"/>
      <c r="B700" s="15" t="n"/>
      <c r="C700" s="16">
        <f>IF($B700="","",IFERROR(INDEX('Intervals'!$B$4:$B$33,MATCH($B700,'Intervals'!$A$4:$A$33,0)),""))</f>
        <v/>
      </c>
      <c r="D700" s="17" t="n"/>
      <c r="E700" s="18" t="n"/>
      <c r="F700" s="19">
        <f>IF(OR($B700="",$E700=""),"",IFERROR(IF(AND(INDEX('Intervals'!$G$4:$G$33,MATCH($B700,'Intervals'!$A$4:$A$33,0))&lt;&gt;"No",N(INDEX('Intervals'!$C$4:$C$33,MATCH($B700,'Intervals'!$A$4:$A$33,0)))&gt;0),$E700+N(INDEX('Intervals'!$C$4:$C$33,MATCH($B700,'Intervals'!$A$4:$A$33,0))),""),""))</f>
        <v/>
      </c>
      <c r="G700" s="20">
        <f>IF(OR($B700="",$D700=""),"",IFERROR(IF(AND(INDEX('Intervals'!$G$4:$G$33,MATCH($B700,'Intervals'!$A$4:$A$33,0))&lt;&gt;"No",N(INDEX('Intervals'!$D$4:$D$33,MATCH($B700,'Intervals'!$A$4:$A$33,0)))&gt;0),EDATE($D700,N(INDEX('Intervals'!$D$4:$D$33,MATCH($B700,'Intervals'!$A$4:$A$33,0)))),""),""))</f>
        <v/>
      </c>
      <c r="H700" s="19">
        <f>IF($A700="","",IFERROR(IF(N(INDEX('Cars'!$H$4:$H$103,MATCH($A700,'Cars'!$A$4:$A$103,0)))&gt;0,INDEX('Cars'!$H$4:$H$103,MATCH($A700,'Cars'!$A$4:$A$103,0)),""),""))</f>
        <v/>
      </c>
      <c r="I700" s="19">
        <f>IF(OR($F700="",$H700=""),"",$F700-$H700)</f>
        <v/>
      </c>
      <c r="J700" s="21">
        <f>IF($G700="","",$G700-TODAY())</f>
        <v/>
      </c>
      <c r="K700" s="21">
        <f>IF($I700="","",IFERROR(IF(N(INDEX('Cars'!$J$4:$J$103,MATCH($A700,'Cars'!$A$4:$A$103,0)))&gt;0,ROUND($I700/INDEX('Cars'!$J$4:$J$103,MATCH($A700,'Cars'!$A$4:$A$103,0))*30,0),""),""))</f>
        <v/>
      </c>
      <c r="L700" s="21">
        <f>IF(AND($J700="",$K700=""),"",MIN(IF($J700="",99999,$J700),IF($K700="",99999,$K700)))</f>
        <v/>
      </c>
      <c r="M700" s="16">
        <f>IF(AND($I700="",$J700=""),"",IF(OR(AND($I700&lt;&gt;"",N($I700)&lt;0),AND($J700&lt;&gt;"",N($J700)&lt;0)),"Overdue",IF(OR(AND($I700&lt;&gt;"",N($I700)&lt;=IFERROR(INDEX('Intervals'!$E$4:$E$33,MATCH($B700,'Intervals'!$A$4:$A$33,0)),500)),AND($J700&lt;&gt;"",N($J700)&lt;=IFERROR(INDEX('Intervals'!$F$4:$F$33,MATCH($B700,'Intervals'!$A$4:$A$33,0)),14))),"Due soon","OK")))</f>
        <v/>
      </c>
      <c r="N700" s="15" t="n"/>
      <c r="O700" s="22">
        <f>IF(OR($M700="",$M700="OK"),"",$L700+ROW()/100000)</f>
        <v/>
      </c>
    </row>
    <row r="701">
      <c r="A701" s="15" t="n"/>
      <c r="B701" s="15" t="n"/>
      <c r="C701" s="16">
        <f>IF($B701="","",IFERROR(INDEX('Intervals'!$B$4:$B$33,MATCH($B701,'Intervals'!$A$4:$A$33,0)),""))</f>
        <v/>
      </c>
      <c r="D701" s="17" t="n"/>
      <c r="E701" s="18" t="n"/>
      <c r="F701" s="19">
        <f>IF(OR($B701="",$E701=""),"",IFERROR(IF(AND(INDEX('Intervals'!$G$4:$G$33,MATCH($B701,'Intervals'!$A$4:$A$33,0))&lt;&gt;"No",N(INDEX('Intervals'!$C$4:$C$33,MATCH($B701,'Intervals'!$A$4:$A$33,0)))&gt;0),$E701+N(INDEX('Intervals'!$C$4:$C$33,MATCH($B701,'Intervals'!$A$4:$A$33,0))),""),""))</f>
        <v/>
      </c>
      <c r="G701" s="20">
        <f>IF(OR($B701="",$D701=""),"",IFERROR(IF(AND(INDEX('Intervals'!$G$4:$G$33,MATCH($B701,'Intervals'!$A$4:$A$33,0))&lt;&gt;"No",N(INDEX('Intervals'!$D$4:$D$33,MATCH($B701,'Intervals'!$A$4:$A$33,0)))&gt;0),EDATE($D701,N(INDEX('Intervals'!$D$4:$D$33,MATCH($B701,'Intervals'!$A$4:$A$33,0)))),""),""))</f>
        <v/>
      </c>
      <c r="H701" s="19">
        <f>IF($A701="","",IFERROR(IF(N(INDEX('Cars'!$H$4:$H$103,MATCH($A701,'Cars'!$A$4:$A$103,0)))&gt;0,INDEX('Cars'!$H$4:$H$103,MATCH($A701,'Cars'!$A$4:$A$103,0)),""),""))</f>
        <v/>
      </c>
      <c r="I701" s="19">
        <f>IF(OR($F701="",$H701=""),"",$F701-$H701)</f>
        <v/>
      </c>
      <c r="J701" s="21">
        <f>IF($G701="","",$G701-TODAY())</f>
        <v/>
      </c>
      <c r="K701" s="21">
        <f>IF($I701="","",IFERROR(IF(N(INDEX('Cars'!$J$4:$J$103,MATCH($A701,'Cars'!$A$4:$A$103,0)))&gt;0,ROUND($I701/INDEX('Cars'!$J$4:$J$103,MATCH($A701,'Cars'!$A$4:$A$103,0))*30,0),""),""))</f>
        <v/>
      </c>
      <c r="L701" s="21">
        <f>IF(AND($J701="",$K701=""),"",MIN(IF($J701="",99999,$J701),IF($K701="",99999,$K701)))</f>
        <v/>
      </c>
      <c r="M701" s="16">
        <f>IF(AND($I701="",$J701=""),"",IF(OR(AND($I701&lt;&gt;"",N($I701)&lt;0),AND($J701&lt;&gt;"",N($J701)&lt;0)),"Overdue",IF(OR(AND($I701&lt;&gt;"",N($I701)&lt;=IFERROR(INDEX('Intervals'!$E$4:$E$33,MATCH($B701,'Intervals'!$A$4:$A$33,0)),500)),AND($J701&lt;&gt;"",N($J701)&lt;=IFERROR(INDEX('Intervals'!$F$4:$F$33,MATCH($B701,'Intervals'!$A$4:$A$33,0)),14))),"Due soon","OK")))</f>
        <v/>
      </c>
      <c r="N701" s="15" t="n"/>
      <c r="O701" s="22">
        <f>IF(OR($M701="",$M701="OK"),"",$L701+ROW()/100000)</f>
        <v/>
      </c>
    </row>
    <row r="702">
      <c r="A702" s="15" t="n"/>
      <c r="B702" s="15" t="n"/>
      <c r="C702" s="16">
        <f>IF($B702="","",IFERROR(INDEX('Intervals'!$B$4:$B$33,MATCH($B702,'Intervals'!$A$4:$A$33,0)),""))</f>
        <v/>
      </c>
      <c r="D702" s="17" t="n"/>
      <c r="E702" s="18" t="n"/>
      <c r="F702" s="19">
        <f>IF(OR($B702="",$E702=""),"",IFERROR(IF(AND(INDEX('Intervals'!$G$4:$G$33,MATCH($B702,'Intervals'!$A$4:$A$33,0))&lt;&gt;"No",N(INDEX('Intervals'!$C$4:$C$33,MATCH($B702,'Intervals'!$A$4:$A$33,0)))&gt;0),$E702+N(INDEX('Intervals'!$C$4:$C$33,MATCH($B702,'Intervals'!$A$4:$A$33,0))),""),""))</f>
        <v/>
      </c>
      <c r="G702" s="20">
        <f>IF(OR($B702="",$D702=""),"",IFERROR(IF(AND(INDEX('Intervals'!$G$4:$G$33,MATCH($B702,'Intervals'!$A$4:$A$33,0))&lt;&gt;"No",N(INDEX('Intervals'!$D$4:$D$33,MATCH($B702,'Intervals'!$A$4:$A$33,0)))&gt;0),EDATE($D702,N(INDEX('Intervals'!$D$4:$D$33,MATCH($B702,'Intervals'!$A$4:$A$33,0)))),""),""))</f>
        <v/>
      </c>
      <c r="H702" s="19">
        <f>IF($A702="","",IFERROR(IF(N(INDEX('Cars'!$H$4:$H$103,MATCH($A702,'Cars'!$A$4:$A$103,0)))&gt;0,INDEX('Cars'!$H$4:$H$103,MATCH($A702,'Cars'!$A$4:$A$103,0)),""),""))</f>
        <v/>
      </c>
      <c r="I702" s="19">
        <f>IF(OR($F702="",$H702=""),"",$F702-$H702)</f>
        <v/>
      </c>
      <c r="J702" s="21">
        <f>IF($G702="","",$G702-TODAY())</f>
        <v/>
      </c>
      <c r="K702" s="21">
        <f>IF($I702="","",IFERROR(IF(N(INDEX('Cars'!$J$4:$J$103,MATCH($A702,'Cars'!$A$4:$A$103,0)))&gt;0,ROUND($I702/INDEX('Cars'!$J$4:$J$103,MATCH($A702,'Cars'!$A$4:$A$103,0))*30,0),""),""))</f>
        <v/>
      </c>
      <c r="L702" s="21">
        <f>IF(AND($J702="",$K702=""),"",MIN(IF($J702="",99999,$J702),IF($K702="",99999,$K702)))</f>
        <v/>
      </c>
      <c r="M702" s="16">
        <f>IF(AND($I702="",$J702=""),"",IF(OR(AND($I702&lt;&gt;"",N($I702)&lt;0),AND($J702&lt;&gt;"",N($J702)&lt;0)),"Overdue",IF(OR(AND($I702&lt;&gt;"",N($I702)&lt;=IFERROR(INDEX('Intervals'!$E$4:$E$33,MATCH($B702,'Intervals'!$A$4:$A$33,0)),500)),AND($J702&lt;&gt;"",N($J702)&lt;=IFERROR(INDEX('Intervals'!$F$4:$F$33,MATCH($B702,'Intervals'!$A$4:$A$33,0)),14))),"Due soon","OK")))</f>
        <v/>
      </c>
      <c r="N702" s="15" t="n"/>
      <c r="O702" s="22">
        <f>IF(OR($M702="",$M702="OK"),"",$L702+ROW()/100000)</f>
        <v/>
      </c>
    </row>
    <row r="703">
      <c r="A703" s="15" t="n"/>
      <c r="B703" s="15" t="n"/>
      <c r="C703" s="16">
        <f>IF($B703="","",IFERROR(INDEX('Intervals'!$B$4:$B$33,MATCH($B703,'Intervals'!$A$4:$A$33,0)),""))</f>
        <v/>
      </c>
      <c r="D703" s="17" t="n"/>
      <c r="E703" s="18" t="n"/>
      <c r="F703" s="19">
        <f>IF(OR($B703="",$E703=""),"",IFERROR(IF(AND(INDEX('Intervals'!$G$4:$G$33,MATCH($B703,'Intervals'!$A$4:$A$33,0))&lt;&gt;"No",N(INDEX('Intervals'!$C$4:$C$33,MATCH($B703,'Intervals'!$A$4:$A$33,0)))&gt;0),$E703+N(INDEX('Intervals'!$C$4:$C$33,MATCH($B703,'Intervals'!$A$4:$A$33,0))),""),""))</f>
        <v/>
      </c>
      <c r="G703" s="20">
        <f>IF(OR($B703="",$D703=""),"",IFERROR(IF(AND(INDEX('Intervals'!$G$4:$G$33,MATCH($B703,'Intervals'!$A$4:$A$33,0))&lt;&gt;"No",N(INDEX('Intervals'!$D$4:$D$33,MATCH($B703,'Intervals'!$A$4:$A$33,0)))&gt;0),EDATE($D703,N(INDEX('Intervals'!$D$4:$D$33,MATCH($B703,'Intervals'!$A$4:$A$33,0)))),""),""))</f>
        <v/>
      </c>
      <c r="H703" s="19">
        <f>IF($A703="","",IFERROR(IF(N(INDEX('Cars'!$H$4:$H$103,MATCH($A703,'Cars'!$A$4:$A$103,0)))&gt;0,INDEX('Cars'!$H$4:$H$103,MATCH($A703,'Cars'!$A$4:$A$103,0)),""),""))</f>
        <v/>
      </c>
      <c r="I703" s="19">
        <f>IF(OR($F703="",$H703=""),"",$F703-$H703)</f>
        <v/>
      </c>
      <c r="J703" s="21">
        <f>IF($G703="","",$G703-TODAY())</f>
        <v/>
      </c>
      <c r="K703" s="21">
        <f>IF($I703="","",IFERROR(IF(N(INDEX('Cars'!$J$4:$J$103,MATCH($A703,'Cars'!$A$4:$A$103,0)))&gt;0,ROUND($I703/INDEX('Cars'!$J$4:$J$103,MATCH($A703,'Cars'!$A$4:$A$103,0))*30,0),""),""))</f>
        <v/>
      </c>
      <c r="L703" s="21">
        <f>IF(AND($J703="",$K703=""),"",MIN(IF($J703="",99999,$J703),IF($K703="",99999,$K703)))</f>
        <v/>
      </c>
      <c r="M703" s="16">
        <f>IF(AND($I703="",$J703=""),"",IF(OR(AND($I703&lt;&gt;"",N($I703)&lt;0),AND($J703&lt;&gt;"",N($J703)&lt;0)),"Overdue",IF(OR(AND($I703&lt;&gt;"",N($I703)&lt;=IFERROR(INDEX('Intervals'!$E$4:$E$33,MATCH($B703,'Intervals'!$A$4:$A$33,0)),500)),AND($J703&lt;&gt;"",N($J703)&lt;=IFERROR(INDEX('Intervals'!$F$4:$F$33,MATCH($B703,'Intervals'!$A$4:$A$33,0)),14))),"Due soon","OK")))</f>
        <v/>
      </c>
      <c r="N703" s="15" t="n"/>
      <c r="O703" s="22">
        <f>IF(OR($M703="",$M703="OK"),"",$L703+ROW()/100000)</f>
        <v/>
      </c>
    </row>
    <row r="704">
      <c r="A704" s="15" t="n"/>
      <c r="B704" s="15" t="n"/>
      <c r="C704" s="16">
        <f>IF($B704="","",IFERROR(INDEX('Intervals'!$B$4:$B$33,MATCH($B704,'Intervals'!$A$4:$A$33,0)),""))</f>
        <v/>
      </c>
      <c r="D704" s="17" t="n"/>
      <c r="E704" s="18" t="n"/>
      <c r="F704" s="19">
        <f>IF(OR($B704="",$E704=""),"",IFERROR(IF(AND(INDEX('Intervals'!$G$4:$G$33,MATCH($B704,'Intervals'!$A$4:$A$33,0))&lt;&gt;"No",N(INDEX('Intervals'!$C$4:$C$33,MATCH($B704,'Intervals'!$A$4:$A$33,0)))&gt;0),$E704+N(INDEX('Intervals'!$C$4:$C$33,MATCH($B704,'Intervals'!$A$4:$A$33,0))),""),""))</f>
        <v/>
      </c>
      <c r="G704" s="20">
        <f>IF(OR($B704="",$D704=""),"",IFERROR(IF(AND(INDEX('Intervals'!$G$4:$G$33,MATCH($B704,'Intervals'!$A$4:$A$33,0))&lt;&gt;"No",N(INDEX('Intervals'!$D$4:$D$33,MATCH($B704,'Intervals'!$A$4:$A$33,0)))&gt;0),EDATE($D704,N(INDEX('Intervals'!$D$4:$D$33,MATCH($B704,'Intervals'!$A$4:$A$33,0)))),""),""))</f>
        <v/>
      </c>
      <c r="H704" s="19">
        <f>IF($A704="","",IFERROR(IF(N(INDEX('Cars'!$H$4:$H$103,MATCH($A704,'Cars'!$A$4:$A$103,0)))&gt;0,INDEX('Cars'!$H$4:$H$103,MATCH($A704,'Cars'!$A$4:$A$103,0)),""),""))</f>
        <v/>
      </c>
      <c r="I704" s="19">
        <f>IF(OR($F704="",$H704=""),"",$F704-$H704)</f>
        <v/>
      </c>
      <c r="J704" s="21">
        <f>IF($G704="","",$G704-TODAY())</f>
        <v/>
      </c>
      <c r="K704" s="21">
        <f>IF($I704="","",IFERROR(IF(N(INDEX('Cars'!$J$4:$J$103,MATCH($A704,'Cars'!$A$4:$A$103,0)))&gt;0,ROUND($I704/INDEX('Cars'!$J$4:$J$103,MATCH($A704,'Cars'!$A$4:$A$103,0))*30,0),""),""))</f>
        <v/>
      </c>
      <c r="L704" s="21">
        <f>IF(AND($J704="",$K704=""),"",MIN(IF($J704="",99999,$J704),IF($K704="",99999,$K704)))</f>
        <v/>
      </c>
      <c r="M704" s="16">
        <f>IF(AND($I704="",$J704=""),"",IF(OR(AND($I704&lt;&gt;"",N($I704)&lt;0),AND($J704&lt;&gt;"",N($J704)&lt;0)),"Overdue",IF(OR(AND($I704&lt;&gt;"",N($I704)&lt;=IFERROR(INDEX('Intervals'!$E$4:$E$33,MATCH($B704,'Intervals'!$A$4:$A$33,0)),500)),AND($J704&lt;&gt;"",N($J704)&lt;=IFERROR(INDEX('Intervals'!$F$4:$F$33,MATCH($B704,'Intervals'!$A$4:$A$33,0)),14))),"Due soon","OK")))</f>
        <v/>
      </c>
      <c r="N704" s="15" t="n"/>
      <c r="O704" s="22">
        <f>IF(OR($M704="",$M704="OK"),"",$L704+ROW()/100000)</f>
        <v/>
      </c>
    </row>
    <row r="705">
      <c r="A705" s="15" t="n"/>
      <c r="B705" s="15" t="n"/>
      <c r="C705" s="16">
        <f>IF($B705="","",IFERROR(INDEX('Intervals'!$B$4:$B$33,MATCH($B705,'Intervals'!$A$4:$A$33,0)),""))</f>
        <v/>
      </c>
      <c r="D705" s="17" t="n"/>
      <c r="E705" s="18" t="n"/>
      <c r="F705" s="19">
        <f>IF(OR($B705="",$E705=""),"",IFERROR(IF(AND(INDEX('Intervals'!$G$4:$G$33,MATCH($B705,'Intervals'!$A$4:$A$33,0))&lt;&gt;"No",N(INDEX('Intervals'!$C$4:$C$33,MATCH($B705,'Intervals'!$A$4:$A$33,0)))&gt;0),$E705+N(INDEX('Intervals'!$C$4:$C$33,MATCH($B705,'Intervals'!$A$4:$A$33,0))),""),""))</f>
        <v/>
      </c>
      <c r="G705" s="20">
        <f>IF(OR($B705="",$D705=""),"",IFERROR(IF(AND(INDEX('Intervals'!$G$4:$G$33,MATCH($B705,'Intervals'!$A$4:$A$33,0))&lt;&gt;"No",N(INDEX('Intervals'!$D$4:$D$33,MATCH($B705,'Intervals'!$A$4:$A$33,0)))&gt;0),EDATE($D705,N(INDEX('Intervals'!$D$4:$D$33,MATCH($B705,'Intervals'!$A$4:$A$33,0)))),""),""))</f>
        <v/>
      </c>
      <c r="H705" s="19">
        <f>IF($A705="","",IFERROR(IF(N(INDEX('Cars'!$H$4:$H$103,MATCH($A705,'Cars'!$A$4:$A$103,0)))&gt;0,INDEX('Cars'!$H$4:$H$103,MATCH($A705,'Cars'!$A$4:$A$103,0)),""),""))</f>
        <v/>
      </c>
      <c r="I705" s="19">
        <f>IF(OR($F705="",$H705=""),"",$F705-$H705)</f>
        <v/>
      </c>
      <c r="J705" s="21">
        <f>IF($G705="","",$G705-TODAY())</f>
        <v/>
      </c>
      <c r="K705" s="21">
        <f>IF($I705="","",IFERROR(IF(N(INDEX('Cars'!$J$4:$J$103,MATCH($A705,'Cars'!$A$4:$A$103,0)))&gt;0,ROUND($I705/INDEX('Cars'!$J$4:$J$103,MATCH($A705,'Cars'!$A$4:$A$103,0))*30,0),""),""))</f>
        <v/>
      </c>
      <c r="L705" s="21">
        <f>IF(AND($J705="",$K705=""),"",MIN(IF($J705="",99999,$J705),IF($K705="",99999,$K705)))</f>
        <v/>
      </c>
      <c r="M705" s="16">
        <f>IF(AND($I705="",$J705=""),"",IF(OR(AND($I705&lt;&gt;"",N($I705)&lt;0),AND($J705&lt;&gt;"",N($J705)&lt;0)),"Overdue",IF(OR(AND($I705&lt;&gt;"",N($I705)&lt;=IFERROR(INDEX('Intervals'!$E$4:$E$33,MATCH($B705,'Intervals'!$A$4:$A$33,0)),500)),AND($J705&lt;&gt;"",N($J705)&lt;=IFERROR(INDEX('Intervals'!$F$4:$F$33,MATCH($B705,'Intervals'!$A$4:$A$33,0)),14))),"Due soon","OK")))</f>
        <v/>
      </c>
      <c r="N705" s="15" t="n"/>
      <c r="O705" s="22">
        <f>IF(OR($M705="",$M705="OK"),"",$L705+ROW()/100000)</f>
        <v/>
      </c>
    </row>
    <row r="706">
      <c r="A706" s="15" t="n"/>
      <c r="B706" s="15" t="n"/>
      <c r="C706" s="16">
        <f>IF($B706="","",IFERROR(INDEX('Intervals'!$B$4:$B$33,MATCH($B706,'Intervals'!$A$4:$A$33,0)),""))</f>
        <v/>
      </c>
      <c r="D706" s="17" t="n"/>
      <c r="E706" s="18" t="n"/>
      <c r="F706" s="19">
        <f>IF(OR($B706="",$E706=""),"",IFERROR(IF(AND(INDEX('Intervals'!$G$4:$G$33,MATCH($B706,'Intervals'!$A$4:$A$33,0))&lt;&gt;"No",N(INDEX('Intervals'!$C$4:$C$33,MATCH($B706,'Intervals'!$A$4:$A$33,0)))&gt;0),$E706+N(INDEX('Intervals'!$C$4:$C$33,MATCH($B706,'Intervals'!$A$4:$A$33,0))),""),""))</f>
        <v/>
      </c>
      <c r="G706" s="20">
        <f>IF(OR($B706="",$D706=""),"",IFERROR(IF(AND(INDEX('Intervals'!$G$4:$G$33,MATCH($B706,'Intervals'!$A$4:$A$33,0))&lt;&gt;"No",N(INDEX('Intervals'!$D$4:$D$33,MATCH($B706,'Intervals'!$A$4:$A$33,0)))&gt;0),EDATE($D706,N(INDEX('Intervals'!$D$4:$D$33,MATCH($B706,'Intervals'!$A$4:$A$33,0)))),""),""))</f>
        <v/>
      </c>
      <c r="H706" s="19">
        <f>IF($A706="","",IFERROR(IF(N(INDEX('Cars'!$H$4:$H$103,MATCH($A706,'Cars'!$A$4:$A$103,0)))&gt;0,INDEX('Cars'!$H$4:$H$103,MATCH($A706,'Cars'!$A$4:$A$103,0)),""),""))</f>
        <v/>
      </c>
      <c r="I706" s="19">
        <f>IF(OR($F706="",$H706=""),"",$F706-$H706)</f>
        <v/>
      </c>
      <c r="J706" s="21">
        <f>IF($G706="","",$G706-TODAY())</f>
        <v/>
      </c>
      <c r="K706" s="21">
        <f>IF($I706="","",IFERROR(IF(N(INDEX('Cars'!$J$4:$J$103,MATCH($A706,'Cars'!$A$4:$A$103,0)))&gt;0,ROUND($I706/INDEX('Cars'!$J$4:$J$103,MATCH($A706,'Cars'!$A$4:$A$103,0))*30,0),""),""))</f>
        <v/>
      </c>
      <c r="L706" s="21">
        <f>IF(AND($J706="",$K706=""),"",MIN(IF($J706="",99999,$J706),IF($K706="",99999,$K706)))</f>
        <v/>
      </c>
      <c r="M706" s="16">
        <f>IF(AND($I706="",$J706=""),"",IF(OR(AND($I706&lt;&gt;"",N($I706)&lt;0),AND($J706&lt;&gt;"",N($J706)&lt;0)),"Overdue",IF(OR(AND($I706&lt;&gt;"",N($I706)&lt;=IFERROR(INDEX('Intervals'!$E$4:$E$33,MATCH($B706,'Intervals'!$A$4:$A$33,0)),500)),AND($J706&lt;&gt;"",N($J706)&lt;=IFERROR(INDEX('Intervals'!$F$4:$F$33,MATCH($B706,'Intervals'!$A$4:$A$33,0)),14))),"Due soon","OK")))</f>
        <v/>
      </c>
      <c r="N706" s="15" t="n"/>
      <c r="O706" s="22">
        <f>IF(OR($M706="",$M706="OK"),"",$L706+ROW()/100000)</f>
        <v/>
      </c>
    </row>
    <row r="707">
      <c r="A707" s="15" t="n"/>
      <c r="B707" s="15" t="n"/>
      <c r="C707" s="16">
        <f>IF($B707="","",IFERROR(INDEX('Intervals'!$B$4:$B$33,MATCH($B707,'Intervals'!$A$4:$A$33,0)),""))</f>
        <v/>
      </c>
      <c r="D707" s="17" t="n"/>
      <c r="E707" s="18" t="n"/>
      <c r="F707" s="19">
        <f>IF(OR($B707="",$E707=""),"",IFERROR(IF(AND(INDEX('Intervals'!$G$4:$G$33,MATCH($B707,'Intervals'!$A$4:$A$33,0))&lt;&gt;"No",N(INDEX('Intervals'!$C$4:$C$33,MATCH($B707,'Intervals'!$A$4:$A$33,0)))&gt;0),$E707+N(INDEX('Intervals'!$C$4:$C$33,MATCH($B707,'Intervals'!$A$4:$A$33,0))),""),""))</f>
        <v/>
      </c>
      <c r="G707" s="20">
        <f>IF(OR($B707="",$D707=""),"",IFERROR(IF(AND(INDEX('Intervals'!$G$4:$G$33,MATCH($B707,'Intervals'!$A$4:$A$33,0))&lt;&gt;"No",N(INDEX('Intervals'!$D$4:$D$33,MATCH($B707,'Intervals'!$A$4:$A$33,0)))&gt;0),EDATE($D707,N(INDEX('Intervals'!$D$4:$D$33,MATCH($B707,'Intervals'!$A$4:$A$33,0)))),""),""))</f>
        <v/>
      </c>
      <c r="H707" s="19">
        <f>IF($A707="","",IFERROR(IF(N(INDEX('Cars'!$H$4:$H$103,MATCH($A707,'Cars'!$A$4:$A$103,0)))&gt;0,INDEX('Cars'!$H$4:$H$103,MATCH($A707,'Cars'!$A$4:$A$103,0)),""),""))</f>
        <v/>
      </c>
      <c r="I707" s="19">
        <f>IF(OR($F707="",$H707=""),"",$F707-$H707)</f>
        <v/>
      </c>
      <c r="J707" s="21">
        <f>IF($G707="","",$G707-TODAY())</f>
        <v/>
      </c>
      <c r="K707" s="21">
        <f>IF($I707="","",IFERROR(IF(N(INDEX('Cars'!$J$4:$J$103,MATCH($A707,'Cars'!$A$4:$A$103,0)))&gt;0,ROUND($I707/INDEX('Cars'!$J$4:$J$103,MATCH($A707,'Cars'!$A$4:$A$103,0))*30,0),""),""))</f>
        <v/>
      </c>
      <c r="L707" s="21">
        <f>IF(AND($J707="",$K707=""),"",MIN(IF($J707="",99999,$J707),IF($K707="",99999,$K707)))</f>
        <v/>
      </c>
      <c r="M707" s="16">
        <f>IF(AND($I707="",$J707=""),"",IF(OR(AND($I707&lt;&gt;"",N($I707)&lt;0),AND($J707&lt;&gt;"",N($J707)&lt;0)),"Overdue",IF(OR(AND($I707&lt;&gt;"",N($I707)&lt;=IFERROR(INDEX('Intervals'!$E$4:$E$33,MATCH($B707,'Intervals'!$A$4:$A$33,0)),500)),AND($J707&lt;&gt;"",N($J707)&lt;=IFERROR(INDEX('Intervals'!$F$4:$F$33,MATCH($B707,'Intervals'!$A$4:$A$33,0)),14))),"Due soon","OK")))</f>
        <v/>
      </c>
      <c r="N707" s="15" t="n"/>
      <c r="O707" s="22">
        <f>IF(OR($M707="",$M707="OK"),"",$L707+ROW()/100000)</f>
        <v/>
      </c>
    </row>
    <row r="708">
      <c r="A708" s="15" t="n"/>
      <c r="B708" s="15" t="n"/>
      <c r="C708" s="16">
        <f>IF($B708="","",IFERROR(INDEX('Intervals'!$B$4:$B$33,MATCH($B708,'Intervals'!$A$4:$A$33,0)),""))</f>
        <v/>
      </c>
      <c r="D708" s="17" t="n"/>
      <c r="E708" s="18" t="n"/>
      <c r="F708" s="19">
        <f>IF(OR($B708="",$E708=""),"",IFERROR(IF(AND(INDEX('Intervals'!$G$4:$G$33,MATCH($B708,'Intervals'!$A$4:$A$33,0))&lt;&gt;"No",N(INDEX('Intervals'!$C$4:$C$33,MATCH($B708,'Intervals'!$A$4:$A$33,0)))&gt;0),$E708+N(INDEX('Intervals'!$C$4:$C$33,MATCH($B708,'Intervals'!$A$4:$A$33,0))),""),""))</f>
        <v/>
      </c>
      <c r="G708" s="20">
        <f>IF(OR($B708="",$D708=""),"",IFERROR(IF(AND(INDEX('Intervals'!$G$4:$G$33,MATCH($B708,'Intervals'!$A$4:$A$33,0))&lt;&gt;"No",N(INDEX('Intervals'!$D$4:$D$33,MATCH($B708,'Intervals'!$A$4:$A$33,0)))&gt;0),EDATE($D708,N(INDEX('Intervals'!$D$4:$D$33,MATCH($B708,'Intervals'!$A$4:$A$33,0)))),""),""))</f>
        <v/>
      </c>
      <c r="H708" s="19">
        <f>IF($A708="","",IFERROR(IF(N(INDEX('Cars'!$H$4:$H$103,MATCH($A708,'Cars'!$A$4:$A$103,0)))&gt;0,INDEX('Cars'!$H$4:$H$103,MATCH($A708,'Cars'!$A$4:$A$103,0)),""),""))</f>
        <v/>
      </c>
      <c r="I708" s="19">
        <f>IF(OR($F708="",$H708=""),"",$F708-$H708)</f>
        <v/>
      </c>
      <c r="J708" s="21">
        <f>IF($G708="","",$G708-TODAY())</f>
        <v/>
      </c>
      <c r="K708" s="21">
        <f>IF($I708="","",IFERROR(IF(N(INDEX('Cars'!$J$4:$J$103,MATCH($A708,'Cars'!$A$4:$A$103,0)))&gt;0,ROUND($I708/INDEX('Cars'!$J$4:$J$103,MATCH($A708,'Cars'!$A$4:$A$103,0))*30,0),""),""))</f>
        <v/>
      </c>
      <c r="L708" s="21">
        <f>IF(AND($J708="",$K708=""),"",MIN(IF($J708="",99999,$J708),IF($K708="",99999,$K708)))</f>
        <v/>
      </c>
      <c r="M708" s="16">
        <f>IF(AND($I708="",$J708=""),"",IF(OR(AND($I708&lt;&gt;"",N($I708)&lt;0),AND($J708&lt;&gt;"",N($J708)&lt;0)),"Overdue",IF(OR(AND($I708&lt;&gt;"",N($I708)&lt;=IFERROR(INDEX('Intervals'!$E$4:$E$33,MATCH($B708,'Intervals'!$A$4:$A$33,0)),500)),AND($J708&lt;&gt;"",N($J708)&lt;=IFERROR(INDEX('Intervals'!$F$4:$F$33,MATCH($B708,'Intervals'!$A$4:$A$33,0)),14))),"Due soon","OK")))</f>
        <v/>
      </c>
      <c r="N708" s="15" t="n"/>
      <c r="O708" s="22">
        <f>IF(OR($M708="",$M708="OK"),"",$L708+ROW()/100000)</f>
        <v/>
      </c>
    </row>
    <row r="709">
      <c r="A709" s="15" t="n"/>
      <c r="B709" s="15" t="n"/>
      <c r="C709" s="16">
        <f>IF($B709="","",IFERROR(INDEX('Intervals'!$B$4:$B$33,MATCH($B709,'Intervals'!$A$4:$A$33,0)),""))</f>
        <v/>
      </c>
      <c r="D709" s="17" t="n"/>
      <c r="E709" s="18" t="n"/>
      <c r="F709" s="19">
        <f>IF(OR($B709="",$E709=""),"",IFERROR(IF(AND(INDEX('Intervals'!$G$4:$G$33,MATCH($B709,'Intervals'!$A$4:$A$33,0))&lt;&gt;"No",N(INDEX('Intervals'!$C$4:$C$33,MATCH($B709,'Intervals'!$A$4:$A$33,0)))&gt;0),$E709+N(INDEX('Intervals'!$C$4:$C$33,MATCH($B709,'Intervals'!$A$4:$A$33,0))),""),""))</f>
        <v/>
      </c>
      <c r="G709" s="20">
        <f>IF(OR($B709="",$D709=""),"",IFERROR(IF(AND(INDEX('Intervals'!$G$4:$G$33,MATCH($B709,'Intervals'!$A$4:$A$33,0))&lt;&gt;"No",N(INDEX('Intervals'!$D$4:$D$33,MATCH($B709,'Intervals'!$A$4:$A$33,0)))&gt;0),EDATE($D709,N(INDEX('Intervals'!$D$4:$D$33,MATCH($B709,'Intervals'!$A$4:$A$33,0)))),""),""))</f>
        <v/>
      </c>
      <c r="H709" s="19">
        <f>IF($A709="","",IFERROR(IF(N(INDEX('Cars'!$H$4:$H$103,MATCH($A709,'Cars'!$A$4:$A$103,0)))&gt;0,INDEX('Cars'!$H$4:$H$103,MATCH($A709,'Cars'!$A$4:$A$103,0)),""),""))</f>
        <v/>
      </c>
      <c r="I709" s="19">
        <f>IF(OR($F709="",$H709=""),"",$F709-$H709)</f>
        <v/>
      </c>
      <c r="J709" s="21">
        <f>IF($G709="","",$G709-TODAY())</f>
        <v/>
      </c>
      <c r="K709" s="21">
        <f>IF($I709="","",IFERROR(IF(N(INDEX('Cars'!$J$4:$J$103,MATCH($A709,'Cars'!$A$4:$A$103,0)))&gt;0,ROUND($I709/INDEX('Cars'!$J$4:$J$103,MATCH($A709,'Cars'!$A$4:$A$103,0))*30,0),""),""))</f>
        <v/>
      </c>
      <c r="L709" s="21">
        <f>IF(AND($J709="",$K709=""),"",MIN(IF($J709="",99999,$J709),IF($K709="",99999,$K709)))</f>
        <v/>
      </c>
      <c r="M709" s="16">
        <f>IF(AND($I709="",$J709=""),"",IF(OR(AND($I709&lt;&gt;"",N($I709)&lt;0),AND($J709&lt;&gt;"",N($J709)&lt;0)),"Overdue",IF(OR(AND($I709&lt;&gt;"",N($I709)&lt;=IFERROR(INDEX('Intervals'!$E$4:$E$33,MATCH($B709,'Intervals'!$A$4:$A$33,0)),500)),AND($J709&lt;&gt;"",N($J709)&lt;=IFERROR(INDEX('Intervals'!$F$4:$F$33,MATCH($B709,'Intervals'!$A$4:$A$33,0)),14))),"Due soon","OK")))</f>
        <v/>
      </c>
      <c r="N709" s="15" t="n"/>
      <c r="O709" s="22">
        <f>IF(OR($M709="",$M709="OK"),"",$L709+ROW()/100000)</f>
        <v/>
      </c>
    </row>
    <row r="710">
      <c r="A710" s="15" t="n"/>
      <c r="B710" s="15" t="n"/>
      <c r="C710" s="16">
        <f>IF($B710="","",IFERROR(INDEX('Intervals'!$B$4:$B$33,MATCH($B710,'Intervals'!$A$4:$A$33,0)),""))</f>
        <v/>
      </c>
      <c r="D710" s="17" t="n"/>
      <c r="E710" s="18" t="n"/>
      <c r="F710" s="19">
        <f>IF(OR($B710="",$E710=""),"",IFERROR(IF(AND(INDEX('Intervals'!$G$4:$G$33,MATCH($B710,'Intervals'!$A$4:$A$33,0))&lt;&gt;"No",N(INDEX('Intervals'!$C$4:$C$33,MATCH($B710,'Intervals'!$A$4:$A$33,0)))&gt;0),$E710+N(INDEX('Intervals'!$C$4:$C$33,MATCH($B710,'Intervals'!$A$4:$A$33,0))),""),""))</f>
        <v/>
      </c>
      <c r="G710" s="20">
        <f>IF(OR($B710="",$D710=""),"",IFERROR(IF(AND(INDEX('Intervals'!$G$4:$G$33,MATCH($B710,'Intervals'!$A$4:$A$33,0))&lt;&gt;"No",N(INDEX('Intervals'!$D$4:$D$33,MATCH($B710,'Intervals'!$A$4:$A$33,0)))&gt;0),EDATE($D710,N(INDEX('Intervals'!$D$4:$D$33,MATCH($B710,'Intervals'!$A$4:$A$33,0)))),""),""))</f>
        <v/>
      </c>
      <c r="H710" s="19">
        <f>IF($A710="","",IFERROR(IF(N(INDEX('Cars'!$H$4:$H$103,MATCH($A710,'Cars'!$A$4:$A$103,0)))&gt;0,INDEX('Cars'!$H$4:$H$103,MATCH($A710,'Cars'!$A$4:$A$103,0)),""),""))</f>
        <v/>
      </c>
      <c r="I710" s="19">
        <f>IF(OR($F710="",$H710=""),"",$F710-$H710)</f>
        <v/>
      </c>
      <c r="J710" s="21">
        <f>IF($G710="","",$G710-TODAY())</f>
        <v/>
      </c>
      <c r="K710" s="21">
        <f>IF($I710="","",IFERROR(IF(N(INDEX('Cars'!$J$4:$J$103,MATCH($A710,'Cars'!$A$4:$A$103,0)))&gt;0,ROUND($I710/INDEX('Cars'!$J$4:$J$103,MATCH($A710,'Cars'!$A$4:$A$103,0))*30,0),""),""))</f>
        <v/>
      </c>
      <c r="L710" s="21">
        <f>IF(AND($J710="",$K710=""),"",MIN(IF($J710="",99999,$J710),IF($K710="",99999,$K710)))</f>
        <v/>
      </c>
      <c r="M710" s="16">
        <f>IF(AND($I710="",$J710=""),"",IF(OR(AND($I710&lt;&gt;"",N($I710)&lt;0),AND($J710&lt;&gt;"",N($J710)&lt;0)),"Overdue",IF(OR(AND($I710&lt;&gt;"",N($I710)&lt;=IFERROR(INDEX('Intervals'!$E$4:$E$33,MATCH($B710,'Intervals'!$A$4:$A$33,0)),500)),AND($J710&lt;&gt;"",N($J710)&lt;=IFERROR(INDEX('Intervals'!$F$4:$F$33,MATCH($B710,'Intervals'!$A$4:$A$33,0)),14))),"Due soon","OK")))</f>
        <v/>
      </c>
      <c r="N710" s="15" t="n"/>
      <c r="O710" s="22">
        <f>IF(OR($M710="",$M710="OK"),"",$L710+ROW()/100000)</f>
        <v/>
      </c>
    </row>
    <row r="711">
      <c r="A711" s="15" t="n"/>
      <c r="B711" s="15" t="n"/>
      <c r="C711" s="16">
        <f>IF($B711="","",IFERROR(INDEX('Intervals'!$B$4:$B$33,MATCH($B711,'Intervals'!$A$4:$A$33,0)),""))</f>
        <v/>
      </c>
      <c r="D711" s="17" t="n"/>
      <c r="E711" s="18" t="n"/>
      <c r="F711" s="19">
        <f>IF(OR($B711="",$E711=""),"",IFERROR(IF(AND(INDEX('Intervals'!$G$4:$G$33,MATCH($B711,'Intervals'!$A$4:$A$33,0))&lt;&gt;"No",N(INDEX('Intervals'!$C$4:$C$33,MATCH($B711,'Intervals'!$A$4:$A$33,0)))&gt;0),$E711+N(INDEX('Intervals'!$C$4:$C$33,MATCH($B711,'Intervals'!$A$4:$A$33,0))),""),""))</f>
        <v/>
      </c>
      <c r="G711" s="20">
        <f>IF(OR($B711="",$D711=""),"",IFERROR(IF(AND(INDEX('Intervals'!$G$4:$G$33,MATCH($B711,'Intervals'!$A$4:$A$33,0))&lt;&gt;"No",N(INDEX('Intervals'!$D$4:$D$33,MATCH($B711,'Intervals'!$A$4:$A$33,0)))&gt;0),EDATE($D711,N(INDEX('Intervals'!$D$4:$D$33,MATCH($B711,'Intervals'!$A$4:$A$33,0)))),""),""))</f>
        <v/>
      </c>
      <c r="H711" s="19">
        <f>IF($A711="","",IFERROR(IF(N(INDEX('Cars'!$H$4:$H$103,MATCH($A711,'Cars'!$A$4:$A$103,0)))&gt;0,INDEX('Cars'!$H$4:$H$103,MATCH($A711,'Cars'!$A$4:$A$103,0)),""),""))</f>
        <v/>
      </c>
      <c r="I711" s="19">
        <f>IF(OR($F711="",$H711=""),"",$F711-$H711)</f>
        <v/>
      </c>
      <c r="J711" s="21">
        <f>IF($G711="","",$G711-TODAY())</f>
        <v/>
      </c>
      <c r="K711" s="21">
        <f>IF($I711="","",IFERROR(IF(N(INDEX('Cars'!$J$4:$J$103,MATCH($A711,'Cars'!$A$4:$A$103,0)))&gt;0,ROUND($I711/INDEX('Cars'!$J$4:$J$103,MATCH($A711,'Cars'!$A$4:$A$103,0))*30,0),""),""))</f>
        <v/>
      </c>
      <c r="L711" s="21">
        <f>IF(AND($J711="",$K711=""),"",MIN(IF($J711="",99999,$J711),IF($K711="",99999,$K711)))</f>
        <v/>
      </c>
      <c r="M711" s="16">
        <f>IF(AND($I711="",$J711=""),"",IF(OR(AND($I711&lt;&gt;"",N($I711)&lt;0),AND($J711&lt;&gt;"",N($J711)&lt;0)),"Overdue",IF(OR(AND($I711&lt;&gt;"",N($I711)&lt;=IFERROR(INDEX('Intervals'!$E$4:$E$33,MATCH($B711,'Intervals'!$A$4:$A$33,0)),500)),AND($J711&lt;&gt;"",N($J711)&lt;=IFERROR(INDEX('Intervals'!$F$4:$F$33,MATCH($B711,'Intervals'!$A$4:$A$33,0)),14))),"Due soon","OK")))</f>
        <v/>
      </c>
      <c r="N711" s="15" t="n"/>
      <c r="O711" s="22">
        <f>IF(OR($M711="",$M711="OK"),"",$L711+ROW()/100000)</f>
        <v/>
      </c>
    </row>
    <row r="712">
      <c r="A712" s="15" t="n"/>
      <c r="B712" s="15" t="n"/>
      <c r="C712" s="16">
        <f>IF($B712="","",IFERROR(INDEX('Intervals'!$B$4:$B$33,MATCH($B712,'Intervals'!$A$4:$A$33,0)),""))</f>
        <v/>
      </c>
      <c r="D712" s="17" t="n"/>
      <c r="E712" s="18" t="n"/>
      <c r="F712" s="19">
        <f>IF(OR($B712="",$E712=""),"",IFERROR(IF(AND(INDEX('Intervals'!$G$4:$G$33,MATCH($B712,'Intervals'!$A$4:$A$33,0))&lt;&gt;"No",N(INDEX('Intervals'!$C$4:$C$33,MATCH($B712,'Intervals'!$A$4:$A$33,0)))&gt;0),$E712+N(INDEX('Intervals'!$C$4:$C$33,MATCH($B712,'Intervals'!$A$4:$A$33,0))),""),""))</f>
        <v/>
      </c>
      <c r="G712" s="20">
        <f>IF(OR($B712="",$D712=""),"",IFERROR(IF(AND(INDEX('Intervals'!$G$4:$G$33,MATCH($B712,'Intervals'!$A$4:$A$33,0))&lt;&gt;"No",N(INDEX('Intervals'!$D$4:$D$33,MATCH($B712,'Intervals'!$A$4:$A$33,0)))&gt;0),EDATE($D712,N(INDEX('Intervals'!$D$4:$D$33,MATCH($B712,'Intervals'!$A$4:$A$33,0)))),""),""))</f>
        <v/>
      </c>
      <c r="H712" s="19">
        <f>IF($A712="","",IFERROR(IF(N(INDEX('Cars'!$H$4:$H$103,MATCH($A712,'Cars'!$A$4:$A$103,0)))&gt;0,INDEX('Cars'!$H$4:$H$103,MATCH($A712,'Cars'!$A$4:$A$103,0)),""),""))</f>
        <v/>
      </c>
      <c r="I712" s="19">
        <f>IF(OR($F712="",$H712=""),"",$F712-$H712)</f>
        <v/>
      </c>
      <c r="J712" s="21">
        <f>IF($G712="","",$G712-TODAY())</f>
        <v/>
      </c>
      <c r="K712" s="21">
        <f>IF($I712="","",IFERROR(IF(N(INDEX('Cars'!$J$4:$J$103,MATCH($A712,'Cars'!$A$4:$A$103,0)))&gt;0,ROUND($I712/INDEX('Cars'!$J$4:$J$103,MATCH($A712,'Cars'!$A$4:$A$103,0))*30,0),""),""))</f>
        <v/>
      </c>
      <c r="L712" s="21">
        <f>IF(AND($J712="",$K712=""),"",MIN(IF($J712="",99999,$J712),IF($K712="",99999,$K712)))</f>
        <v/>
      </c>
      <c r="M712" s="16">
        <f>IF(AND($I712="",$J712=""),"",IF(OR(AND($I712&lt;&gt;"",N($I712)&lt;0),AND($J712&lt;&gt;"",N($J712)&lt;0)),"Overdue",IF(OR(AND($I712&lt;&gt;"",N($I712)&lt;=IFERROR(INDEX('Intervals'!$E$4:$E$33,MATCH($B712,'Intervals'!$A$4:$A$33,0)),500)),AND($J712&lt;&gt;"",N($J712)&lt;=IFERROR(INDEX('Intervals'!$F$4:$F$33,MATCH($B712,'Intervals'!$A$4:$A$33,0)),14))),"Due soon","OK")))</f>
        <v/>
      </c>
      <c r="N712" s="15" t="n"/>
      <c r="O712" s="22">
        <f>IF(OR($M712="",$M712="OK"),"",$L712+ROW()/100000)</f>
        <v/>
      </c>
    </row>
    <row r="713">
      <c r="A713" s="15" t="n"/>
      <c r="B713" s="15" t="n"/>
      <c r="C713" s="16">
        <f>IF($B713="","",IFERROR(INDEX('Intervals'!$B$4:$B$33,MATCH($B713,'Intervals'!$A$4:$A$33,0)),""))</f>
        <v/>
      </c>
      <c r="D713" s="17" t="n"/>
      <c r="E713" s="18" t="n"/>
      <c r="F713" s="19">
        <f>IF(OR($B713="",$E713=""),"",IFERROR(IF(AND(INDEX('Intervals'!$G$4:$G$33,MATCH($B713,'Intervals'!$A$4:$A$33,0))&lt;&gt;"No",N(INDEX('Intervals'!$C$4:$C$33,MATCH($B713,'Intervals'!$A$4:$A$33,0)))&gt;0),$E713+N(INDEX('Intervals'!$C$4:$C$33,MATCH($B713,'Intervals'!$A$4:$A$33,0))),""),""))</f>
        <v/>
      </c>
      <c r="G713" s="20">
        <f>IF(OR($B713="",$D713=""),"",IFERROR(IF(AND(INDEX('Intervals'!$G$4:$G$33,MATCH($B713,'Intervals'!$A$4:$A$33,0))&lt;&gt;"No",N(INDEX('Intervals'!$D$4:$D$33,MATCH($B713,'Intervals'!$A$4:$A$33,0)))&gt;0),EDATE($D713,N(INDEX('Intervals'!$D$4:$D$33,MATCH($B713,'Intervals'!$A$4:$A$33,0)))),""),""))</f>
        <v/>
      </c>
      <c r="H713" s="19">
        <f>IF($A713="","",IFERROR(IF(N(INDEX('Cars'!$H$4:$H$103,MATCH($A713,'Cars'!$A$4:$A$103,0)))&gt;0,INDEX('Cars'!$H$4:$H$103,MATCH($A713,'Cars'!$A$4:$A$103,0)),""),""))</f>
        <v/>
      </c>
      <c r="I713" s="19">
        <f>IF(OR($F713="",$H713=""),"",$F713-$H713)</f>
        <v/>
      </c>
      <c r="J713" s="21">
        <f>IF($G713="","",$G713-TODAY())</f>
        <v/>
      </c>
      <c r="K713" s="21">
        <f>IF($I713="","",IFERROR(IF(N(INDEX('Cars'!$J$4:$J$103,MATCH($A713,'Cars'!$A$4:$A$103,0)))&gt;0,ROUND($I713/INDEX('Cars'!$J$4:$J$103,MATCH($A713,'Cars'!$A$4:$A$103,0))*30,0),""),""))</f>
        <v/>
      </c>
      <c r="L713" s="21">
        <f>IF(AND($J713="",$K713=""),"",MIN(IF($J713="",99999,$J713),IF($K713="",99999,$K713)))</f>
        <v/>
      </c>
      <c r="M713" s="16">
        <f>IF(AND($I713="",$J713=""),"",IF(OR(AND($I713&lt;&gt;"",N($I713)&lt;0),AND($J713&lt;&gt;"",N($J713)&lt;0)),"Overdue",IF(OR(AND($I713&lt;&gt;"",N($I713)&lt;=IFERROR(INDEX('Intervals'!$E$4:$E$33,MATCH($B713,'Intervals'!$A$4:$A$33,0)),500)),AND($J713&lt;&gt;"",N($J713)&lt;=IFERROR(INDEX('Intervals'!$F$4:$F$33,MATCH($B713,'Intervals'!$A$4:$A$33,0)),14))),"Due soon","OK")))</f>
        <v/>
      </c>
      <c r="N713" s="15" t="n"/>
      <c r="O713" s="22">
        <f>IF(OR($M713="",$M713="OK"),"",$L713+ROW()/100000)</f>
        <v/>
      </c>
    </row>
    <row r="714">
      <c r="A714" s="15" t="n"/>
      <c r="B714" s="15" t="n"/>
      <c r="C714" s="16">
        <f>IF($B714="","",IFERROR(INDEX('Intervals'!$B$4:$B$33,MATCH($B714,'Intervals'!$A$4:$A$33,0)),""))</f>
        <v/>
      </c>
      <c r="D714" s="17" t="n"/>
      <c r="E714" s="18" t="n"/>
      <c r="F714" s="19">
        <f>IF(OR($B714="",$E714=""),"",IFERROR(IF(AND(INDEX('Intervals'!$G$4:$G$33,MATCH($B714,'Intervals'!$A$4:$A$33,0))&lt;&gt;"No",N(INDEX('Intervals'!$C$4:$C$33,MATCH($B714,'Intervals'!$A$4:$A$33,0)))&gt;0),$E714+N(INDEX('Intervals'!$C$4:$C$33,MATCH($B714,'Intervals'!$A$4:$A$33,0))),""),""))</f>
        <v/>
      </c>
      <c r="G714" s="20">
        <f>IF(OR($B714="",$D714=""),"",IFERROR(IF(AND(INDEX('Intervals'!$G$4:$G$33,MATCH($B714,'Intervals'!$A$4:$A$33,0))&lt;&gt;"No",N(INDEX('Intervals'!$D$4:$D$33,MATCH($B714,'Intervals'!$A$4:$A$33,0)))&gt;0),EDATE($D714,N(INDEX('Intervals'!$D$4:$D$33,MATCH($B714,'Intervals'!$A$4:$A$33,0)))),""),""))</f>
        <v/>
      </c>
      <c r="H714" s="19">
        <f>IF($A714="","",IFERROR(IF(N(INDEX('Cars'!$H$4:$H$103,MATCH($A714,'Cars'!$A$4:$A$103,0)))&gt;0,INDEX('Cars'!$H$4:$H$103,MATCH($A714,'Cars'!$A$4:$A$103,0)),""),""))</f>
        <v/>
      </c>
      <c r="I714" s="19">
        <f>IF(OR($F714="",$H714=""),"",$F714-$H714)</f>
        <v/>
      </c>
      <c r="J714" s="21">
        <f>IF($G714="","",$G714-TODAY())</f>
        <v/>
      </c>
      <c r="K714" s="21">
        <f>IF($I714="","",IFERROR(IF(N(INDEX('Cars'!$J$4:$J$103,MATCH($A714,'Cars'!$A$4:$A$103,0)))&gt;0,ROUND($I714/INDEX('Cars'!$J$4:$J$103,MATCH($A714,'Cars'!$A$4:$A$103,0))*30,0),""),""))</f>
        <v/>
      </c>
      <c r="L714" s="21">
        <f>IF(AND($J714="",$K714=""),"",MIN(IF($J714="",99999,$J714),IF($K714="",99999,$K714)))</f>
        <v/>
      </c>
      <c r="M714" s="16">
        <f>IF(AND($I714="",$J714=""),"",IF(OR(AND($I714&lt;&gt;"",N($I714)&lt;0),AND($J714&lt;&gt;"",N($J714)&lt;0)),"Overdue",IF(OR(AND($I714&lt;&gt;"",N($I714)&lt;=IFERROR(INDEX('Intervals'!$E$4:$E$33,MATCH($B714,'Intervals'!$A$4:$A$33,0)),500)),AND($J714&lt;&gt;"",N($J714)&lt;=IFERROR(INDEX('Intervals'!$F$4:$F$33,MATCH($B714,'Intervals'!$A$4:$A$33,0)),14))),"Due soon","OK")))</f>
        <v/>
      </c>
      <c r="N714" s="15" t="n"/>
      <c r="O714" s="22">
        <f>IF(OR($M714="",$M714="OK"),"",$L714+ROW()/100000)</f>
        <v/>
      </c>
    </row>
    <row r="715">
      <c r="A715" s="15" t="n"/>
      <c r="B715" s="15" t="n"/>
      <c r="C715" s="16">
        <f>IF($B715="","",IFERROR(INDEX('Intervals'!$B$4:$B$33,MATCH($B715,'Intervals'!$A$4:$A$33,0)),""))</f>
        <v/>
      </c>
      <c r="D715" s="17" t="n"/>
      <c r="E715" s="18" t="n"/>
      <c r="F715" s="19">
        <f>IF(OR($B715="",$E715=""),"",IFERROR(IF(AND(INDEX('Intervals'!$G$4:$G$33,MATCH($B715,'Intervals'!$A$4:$A$33,0))&lt;&gt;"No",N(INDEX('Intervals'!$C$4:$C$33,MATCH($B715,'Intervals'!$A$4:$A$33,0)))&gt;0),$E715+N(INDEX('Intervals'!$C$4:$C$33,MATCH($B715,'Intervals'!$A$4:$A$33,0))),""),""))</f>
        <v/>
      </c>
      <c r="G715" s="20">
        <f>IF(OR($B715="",$D715=""),"",IFERROR(IF(AND(INDEX('Intervals'!$G$4:$G$33,MATCH($B715,'Intervals'!$A$4:$A$33,0))&lt;&gt;"No",N(INDEX('Intervals'!$D$4:$D$33,MATCH($B715,'Intervals'!$A$4:$A$33,0)))&gt;0),EDATE($D715,N(INDEX('Intervals'!$D$4:$D$33,MATCH($B715,'Intervals'!$A$4:$A$33,0)))),""),""))</f>
        <v/>
      </c>
      <c r="H715" s="19">
        <f>IF($A715="","",IFERROR(IF(N(INDEX('Cars'!$H$4:$H$103,MATCH($A715,'Cars'!$A$4:$A$103,0)))&gt;0,INDEX('Cars'!$H$4:$H$103,MATCH($A715,'Cars'!$A$4:$A$103,0)),""),""))</f>
        <v/>
      </c>
      <c r="I715" s="19">
        <f>IF(OR($F715="",$H715=""),"",$F715-$H715)</f>
        <v/>
      </c>
      <c r="J715" s="21">
        <f>IF($G715="","",$G715-TODAY())</f>
        <v/>
      </c>
      <c r="K715" s="21">
        <f>IF($I715="","",IFERROR(IF(N(INDEX('Cars'!$J$4:$J$103,MATCH($A715,'Cars'!$A$4:$A$103,0)))&gt;0,ROUND($I715/INDEX('Cars'!$J$4:$J$103,MATCH($A715,'Cars'!$A$4:$A$103,0))*30,0),""),""))</f>
        <v/>
      </c>
      <c r="L715" s="21">
        <f>IF(AND($J715="",$K715=""),"",MIN(IF($J715="",99999,$J715),IF($K715="",99999,$K715)))</f>
        <v/>
      </c>
      <c r="M715" s="16">
        <f>IF(AND($I715="",$J715=""),"",IF(OR(AND($I715&lt;&gt;"",N($I715)&lt;0),AND($J715&lt;&gt;"",N($J715)&lt;0)),"Overdue",IF(OR(AND($I715&lt;&gt;"",N($I715)&lt;=IFERROR(INDEX('Intervals'!$E$4:$E$33,MATCH($B715,'Intervals'!$A$4:$A$33,0)),500)),AND($J715&lt;&gt;"",N($J715)&lt;=IFERROR(INDEX('Intervals'!$F$4:$F$33,MATCH($B715,'Intervals'!$A$4:$A$33,0)),14))),"Due soon","OK")))</f>
        <v/>
      </c>
      <c r="N715" s="15" t="n"/>
      <c r="O715" s="22">
        <f>IF(OR($M715="",$M715="OK"),"",$L715+ROW()/100000)</f>
        <v/>
      </c>
    </row>
    <row r="716">
      <c r="A716" s="15" t="n"/>
      <c r="B716" s="15" t="n"/>
      <c r="C716" s="16">
        <f>IF($B716="","",IFERROR(INDEX('Intervals'!$B$4:$B$33,MATCH($B716,'Intervals'!$A$4:$A$33,0)),""))</f>
        <v/>
      </c>
      <c r="D716" s="17" t="n"/>
      <c r="E716" s="18" t="n"/>
      <c r="F716" s="19">
        <f>IF(OR($B716="",$E716=""),"",IFERROR(IF(AND(INDEX('Intervals'!$G$4:$G$33,MATCH($B716,'Intervals'!$A$4:$A$33,0))&lt;&gt;"No",N(INDEX('Intervals'!$C$4:$C$33,MATCH($B716,'Intervals'!$A$4:$A$33,0)))&gt;0),$E716+N(INDEX('Intervals'!$C$4:$C$33,MATCH($B716,'Intervals'!$A$4:$A$33,0))),""),""))</f>
        <v/>
      </c>
      <c r="G716" s="20">
        <f>IF(OR($B716="",$D716=""),"",IFERROR(IF(AND(INDEX('Intervals'!$G$4:$G$33,MATCH($B716,'Intervals'!$A$4:$A$33,0))&lt;&gt;"No",N(INDEX('Intervals'!$D$4:$D$33,MATCH($B716,'Intervals'!$A$4:$A$33,0)))&gt;0),EDATE($D716,N(INDEX('Intervals'!$D$4:$D$33,MATCH($B716,'Intervals'!$A$4:$A$33,0)))),""),""))</f>
        <v/>
      </c>
      <c r="H716" s="19">
        <f>IF($A716="","",IFERROR(IF(N(INDEX('Cars'!$H$4:$H$103,MATCH($A716,'Cars'!$A$4:$A$103,0)))&gt;0,INDEX('Cars'!$H$4:$H$103,MATCH($A716,'Cars'!$A$4:$A$103,0)),""),""))</f>
        <v/>
      </c>
      <c r="I716" s="19">
        <f>IF(OR($F716="",$H716=""),"",$F716-$H716)</f>
        <v/>
      </c>
      <c r="J716" s="21">
        <f>IF($G716="","",$G716-TODAY())</f>
        <v/>
      </c>
      <c r="K716" s="21">
        <f>IF($I716="","",IFERROR(IF(N(INDEX('Cars'!$J$4:$J$103,MATCH($A716,'Cars'!$A$4:$A$103,0)))&gt;0,ROUND($I716/INDEX('Cars'!$J$4:$J$103,MATCH($A716,'Cars'!$A$4:$A$103,0))*30,0),""),""))</f>
        <v/>
      </c>
      <c r="L716" s="21">
        <f>IF(AND($J716="",$K716=""),"",MIN(IF($J716="",99999,$J716),IF($K716="",99999,$K716)))</f>
        <v/>
      </c>
      <c r="M716" s="16">
        <f>IF(AND($I716="",$J716=""),"",IF(OR(AND($I716&lt;&gt;"",N($I716)&lt;0),AND($J716&lt;&gt;"",N($J716)&lt;0)),"Overdue",IF(OR(AND($I716&lt;&gt;"",N($I716)&lt;=IFERROR(INDEX('Intervals'!$E$4:$E$33,MATCH($B716,'Intervals'!$A$4:$A$33,0)),500)),AND($J716&lt;&gt;"",N($J716)&lt;=IFERROR(INDEX('Intervals'!$F$4:$F$33,MATCH($B716,'Intervals'!$A$4:$A$33,0)),14))),"Due soon","OK")))</f>
        <v/>
      </c>
      <c r="N716" s="15" t="n"/>
      <c r="O716" s="22">
        <f>IF(OR($M716="",$M716="OK"),"",$L716+ROW()/100000)</f>
        <v/>
      </c>
    </row>
    <row r="717">
      <c r="A717" s="15" t="n"/>
      <c r="B717" s="15" t="n"/>
      <c r="C717" s="16">
        <f>IF($B717="","",IFERROR(INDEX('Intervals'!$B$4:$B$33,MATCH($B717,'Intervals'!$A$4:$A$33,0)),""))</f>
        <v/>
      </c>
      <c r="D717" s="17" t="n"/>
      <c r="E717" s="18" t="n"/>
      <c r="F717" s="19">
        <f>IF(OR($B717="",$E717=""),"",IFERROR(IF(AND(INDEX('Intervals'!$G$4:$G$33,MATCH($B717,'Intervals'!$A$4:$A$33,0))&lt;&gt;"No",N(INDEX('Intervals'!$C$4:$C$33,MATCH($B717,'Intervals'!$A$4:$A$33,0)))&gt;0),$E717+N(INDEX('Intervals'!$C$4:$C$33,MATCH($B717,'Intervals'!$A$4:$A$33,0))),""),""))</f>
        <v/>
      </c>
      <c r="G717" s="20">
        <f>IF(OR($B717="",$D717=""),"",IFERROR(IF(AND(INDEX('Intervals'!$G$4:$G$33,MATCH($B717,'Intervals'!$A$4:$A$33,0))&lt;&gt;"No",N(INDEX('Intervals'!$D$4:$D$33,MATCH($B717,'Intervals'!$A$4:$A$33,0)))&gt;0),EDATE($D717,N(INDEX('Intervals'!$D$4:$D$33,MATCH($B717,'Intervals'!$A$4:$A$33,0)))),""),""))</f>
        <v/>
      </c>
      <c r="H717" s="19">
        <f>IF($A717="","",IFERROR(IF(N(INDEX('Cars'!$H$4:$H$103,MATCH($A717,'Cars'!$A$4:$A$103,0)))&gt;0,INDEX('Cars'!$H$4:$H$103,MATCH($A717,'Cars'!$A$4:$A$103,0)),""),""))</f>
        <v/>
      </c>
      <c r="I717" s="19">
        <f>IF(OR($F717="",$H717=""),"",$F717-$H717)</f>
        <v/>
      </c>
      <c r="J717" s="21">
        <f>IF($G717="","",$G717-TODAY())</f>
        <v/>
      </c>
      <c r="K717" s="21">
        <f>IF($I717="","",IFERROR(IF(N(INDEX('Cars'!$J$4:$J$103,MATCH($A717,'Cars'!$A$4:$A$103,0)))&gt;0,ROUND($I717/INDEX('Cars'!$J$4:$J$103,MATCH($A717,'Cars'!$A$4:$A$103,0))*30,0),""),""))</f>
        <v/>
      </c>
      <c r="L717" s="21">
        <f>IF(AND($J717="",$K717=""),"",MIN(IF($J717="",99999,$J717),IF($K717="",99999,$K717)))</f>
        <v/>
      </c>
      <c r="M717" s="16">
        <f>IF(AND($I717="",$J717=""),"",IF(OR(AND($I717&lt;&gt;"",N($I717)&lt;0),AND($J717&lt;&gt;"",N($J717)&lt;0)),"Overdue",IF(OR(AND($I717&lt;&gt;"",N($I717)&lt;=IFERROR(INDEX('Intervals'!$E$4:$E$33,MATCH($B717,'Intervals'!$A$4:$A$33,0)),500)),AND($J717&lt;&gt;"",N($J717)&lt;=IFERROR(INDEX('Intervals'!$F$4:$F$33,MATCH($B717,'Intervals'!$A$4:$A$33,0)),14))),"Due soon","OK")))</f>
        <v/>
      </c>
      <c r="N717" s="15" t="n"/>
      <c r="O717" s="22">
        <f>IF(OR($M717="",$M717="OK"),"",$L717+ROW()/100000)</f>
        <v/>
      </c>
    </row>
    <row r="718">
      <c r="A718" s="15" t="n"/>
      <c r="B718" s="15" t="n"/>
      <c r="C718" s="16">
        <f>IF($B718="","",IFERROR(INDEX('Intervals'!$B$4:$B$33,MATCH($B718,'Intervals'!$A$4:$A$33,0)),""))</f>
        <v/>
      </c>
      <c r="D718" s="17" t="n"/>
      <c r="E718" s="18" t="n"/>
      <c r="F718" s="19">
        <f>IF(OR($B718="",$E718=""),"",IFERROR(IF(AND(INDEX('Intervals'!$G$4:$G$33,MATCH($B718,'Intervals'!$A$4:$A$33,0))&lt;&gt;"No",N(INDEX('Intervals'!$C$4:$C$33,MATCH($B718,'Intervals'!$A$4:$A$33,0)))&gt;0),$E718+N(INDEX('Intervals'!$C$4:$C$33,MATCH($B718,'Intervals'!$A$4:$A$33,0))),""),""))</f>
        <v/>
      </c>
      <c r="G718" s="20">
        <f>IF(OR($B718="",$D718=""),"",IFERROR(IF(AND(INDEX('Intervals'!$G$4:$G$33,MATCH($B718,'Intervals'!$A$4:$A$33,0))&lt;&gt;"No",N(INDEX('Intervals'!$D$4:$D$33,MATCH($B718,'Intervals'!$A$4:$A$33,0)))&gt;0),EDATE($D718,N(INDEX('Intervals'!$D$4:$D$33,MATCH($B718,'Intervals'!$A$4:$A$33,0)))),""),""))</f>
        <v/>
      </c>
      <c r="H718" s="19">
        <f>IF($A718="","",IFERROR(IF(N(INDEX('Cars'!$H$4:$H$103,MATCH($A718,'Cars'!$A$4:$A$103,0)))&gt;0,INDEX('Cars'!$H$4:$H$103,MATCH($A718,'Cars'!$A$4:$A$103,0)),""),""))</f>
        <v/>
      </c>
      <c r="I718" s="19">
        <f>IF(OR($F718="",$H718=""),"",$F718-$H718)</f>
        <v/>
      </c>
      <c r="J718" s="21">
        <f>IF($G718="","",$G718-TODAY())</f>
        <v/>
      </c>
      <c r="K718" s="21">
        <f>IF($I718="","",IFERROR(IF(N(INDEX('Cars'!$J$4:$J$103,MATCH($A718,'Cars'!$A$4:$A$103,0)))&gt;0,ROUND($I718/INDEX('Cars'!$J$4:$J$103,MATCH($A718,'Cars'!$A$4:$A$103,0))*30,0),""),""))</f>
        <v/>
      </c>
      <c r="L718" s="21">
        <f>IF(AND($J718="",$K718=""),"",MIN(IF($J718="",99999,$J718),IF($K718="",99999,$K718)))</f>
        <v/>
      </c>
      <c r="M718" s="16">
        <f>IF(AND($I718="",$J718=""),"",IF(OR(AND($I718&lt;&gt;"",N($I718)&lt;0),AND($J718&lt;&gt;"",N($J718)&lt;0)),"Overdue",IF(OR(AND($I718&lt;&gt;"",N($I718)&lt;=IFERROR(INDEX('Intervals'!$E$4:$E$33,MATCH($B718,'Intervals'!$A$4:$A$33,0)),500)),AND($J718&lt;&gt;"",N($J718)&lt;=IFERROR(INDEX('Intervals'!$F$4:$F$33,MATCH($B718,'Intervals'!$A$4:$A$33,0)),14))),"Due soon","OK")))</f>
        <v/>
      </c>
      <c r="N718" s="15" t="n"/>
      <c r="O718" s="22">
        <f>IF(OR($M718="",$M718="OK"),"",$L718+ROW()/100000)</f>
        <v/>
      </c>
    </row>
    <row r="719">
      <c r="A719" s="15" t="n"/>
      <c r="B719" s="15" t="n"/>
      <c r="C719" s="16">
        <f>IF($B719="","",IFERROR(INDEX('Intervals'!$B$4:$B$33,MATCH($B719,'Intervals'!$A$4:$A$33,0)),""))</f>
        <v/>
      </c>
      <c r="D719" s="17" t="n"/>
      <c r="E719" s="18" t="n"/>
      <c r="F719" s="19">
        <f>IF(OR($B719="",$E719=""),"",IFERROR(IF(AND(INDEX('Intervals'!$G$4:$G$33,MATCH($B719,'Intervals'!$A$4:$A$33,0))&lt;&gt;"No",N(INDEX('Intervals'!$C$4:$C$33,MATCH($B719,'Intervals'!$A$4:$A$33,0)))&gt;0),$E719+N(INDEX('Intervals'!$C$4:$C$33,MATCH($B719,'Intervals'!$A$4:$A$33,0))),""),""))</f>
        <v/>
      </c>
      <c r="G719" s="20">
        <f>IF(OR($B719="",$D719=""),"",IFERROR(IF(AND(INDEX('Intervals'!$G$4:$G$33,MATCH($B719,'Intervals'!$A$4:$A$33,0))&lt;&gt;"No",N(INDEX('Intervals'!$D$4:$D$33,MATCH($B719,'Intervals'!$A$4:$A$33,0)))&gt;0),EDATE($D719,N(INDEX('Intervals'!$D$4:$D$33,MATCH($B719,'Intervals'!$A$4:$A$33,0)))),""),""))</f>
        <v/>
      </c>
      <c r="H719" s="19">
        <f>IF($A719="","",IFERROR(IF(N(INDEX('Cars'!$H$4:$H$103,MATCH($A719,'Cars'!$A$4:$A$103,0)))&gt;0,INDEX('Cars'!$H$4:$H$103,MATCH($A719,'Cars'!$A$4:$A$103,0)),""),""))</f>
        <v/>
      </c>
      <c r="I719" s="19">
        <f>IF(OR($F719="",$H719=""),"",$F719-$H719)</f>
        <v/>
      </c>
      <c r="J719" s="21">
        <f>IF($G719="","",$G719-TODAY())</f>
        <v/>
      </c>
      <c r="K719" s="21">
        <f>IF($I719="","",IFERROR(IF(N(INDEX('Cars'!$J$4:$J$103,MATCH($A719,'Cars'!$A$4:$A$103,0)))&gt;0,ROUND($I719/INDEX('Cars'!$J$4:$J$103,MATCH($A719,'Cars'!$A$4:$A$103,0))*30,0),""),""))</f>
        <v/>
      </c>
      <c r="L719" s="21">
        <f>IF(AND($J719="",$K719=""),"",MIN(IF($J719="",99999,$J719),IF($K719="",99999,$K719)))</f>
        <v/>
      </c>
      <c r="M719" s="16">
        <f>IF(AND($I719="",$J719=""),"",IF(OR(AND($I719&lt;&gt;"",N($I719)&lt;0),AND($J719&lt;&gt;"",N($J719)&lt;0)),"Overdue",IF(OR(AND($I719&lt;&gt;"",N($I719)&lt;=IFERROR(INDEX('Intervals'!$E$4:$E$33,MATCH($B719,'Intervals'!$A$4:$A$33,0)),500)),AND($J719&lt;&gt;"",N($J719)&lt;=IFERROR(INDEX('Intervals'!$F$4:$F$33,MATCH($B719,'Intervals'!$A$4:$A$33,0)),14))),"Due soon","OK")))</f>
        <v/>
      </c>
      <c r="N719" s="15" t="n"/>
      <c r="O719" s="22">
        <f>IF(OR($M719="",$M719="OK"),"",$L719+ROW()/100000)</f>
        <v/>
      </c>
    </row>
    <row r="720">
      <c r="A720" s="15" t="n"/>
      <c r="B720" s="15" t="n"/>
      <c r="C720" s="16">
        <f>IF($B720="","",IFERROR(INDEX('Intervals'!$B$4:$B$33,MATCH($B720,'Intervals'!$A$4:$A$33,0)),""))</f>
        <v/>
      </c>
      <c r="D720" s="17" t="n"/>
      <c r="E720" s="18" t="n"/>
      <c r="F720" s="19">
        <f>IF(OR($B720="",$E720=""),"",IFERROR(IF(AND(INDEX('Intervals'!$G$4:$G$33,MATCH($B720,'Intervals'!$A$4:$A$33,0))&lt;&gt;"No",N(INDEX('Intervals'!$C$4:$C$33,MATCH($B720,'Intervals'!$A$4:$A$33,0)))&gt;0),$E720+N(INDEX('Intervals'!$C$4:$C$33,MATCH($B720,'Intervals'!$A$4:$A$33,0))),""),""))</f>
        <v/>
      </c>
      <c r="G720" s="20">
        <f>IF(OR($B720="",$D720=""),"",IFERROR(IF(AND(INDEX('Intervals'!$G$4:$G$33,MATCH($B720,'Intervals'!$A$4:$A$33,0))&lt;&gt;"No",N(INDEX('Intervals'!$D$4:$D$33,MATCH($B720,'Intervals'!$A$4:$A$33,0)))&gt;0),EDATE($D720,N(INDEX('Intervals'!$D$4:$D$33,MATCH($B720,'Intervals'!$A$4:$A$33,0)))),""),""))</f>
        <v/>
      </c>
      <c r="H720" s="19">
        <f>IF($A720="","",IFERROR(IF(N(INDEX('Cars'!$H$4:$H$103,MATCH($A720,'Cars'!$A$4:$A$103,0)))&gt;0,INDEX('Cars'!$H$4:$H$103,MATCH($A720,'Cars'!$A$4:$A$103,0)),""),""))</f>
        <v/>
      </c>
      <c r="I720" s="19">
        <f>IF(OR($F720="",$H720=""),"",$F720-$H720)</f>
        <v/>
      </c>
      <c r="J720" s="21">
        <f>IF($G720="","",$G720-TODAY())</f>
        <v/>
      </c>
      <c r="K720" s="21">
        <f>IF($I720="","",IFERROR(IF(N(INDEX('Cars'!$J$4:$J$103,MATCH($A720,'Cars'!$A$4:$A$103,0)))&gt;0,ROUND($I720/INDEX('Cars'!$J$4:$J$103,MATCH($A720,'Cars'!$A$4:$A$103,0))*30,0),""),""))</f>
        <v/>
      </c>
      <c r="L720" s="21">
        <f>IF(AND($J720="",$K720=""),"",MIN(IF($J720="",99999,$J720),IF($K720="",99999,$K720)))</f>
        <v/>
      </c>
      <c r="M720" s="16">
        <f>IF(AND($I720="",$J720=""),"",IF(OR(AND($I720&lt;&gt;"",N($I720)&lt;0),AND($J720&lt;&gt;"",N($J720)&lt;0)),"Overdue",IF(OR(AND($I720&lt;&gt;"",N($I720)&lt;=IFERROR(INDEX('Intervals'!$E$4:$E$33,MATCH($B720,'Intervals'!$A$4:$A$33,0)),500)),AND($J720&lt;&gt;"",N($J720)&lt;=IFERROR(INDEX('Intervals'!$F$4:$F$33,MATCH($B720,'Intervals'!$A$4:$A$33,0)),14))),"Due soon","OK")))</f>
        <v/>
      </c>
      <c r="N720" s="15" t="n"/>
      <c r="O720" s="22">
        <f>IF(OR($M720="",$M720="OK"),"",$L720+ROW()/100000)</f>
        <v/>
      </c>
    </row>
    <row r="721">
      <c r="A721" s="15" t="n"/>
      <c r="B721" s="15" t="n"/>
      <c r="C721" s="16">
        <f>IF($B721="","",IFERROR(INDEX('Intervals'!$B$4:$B$33,MATCH($B721,'Intervals'!$A$4:$A$33,0)),""))</f>
        <v/>
      </c>
      <c r="D721" s="17" t="n"/>
      <c r="E721" s="18" t="n"/>
      <c r="F721" s="19">
        <f>IF(OR($B721="",$E721=""),"",IFERROR(IF(AND(INDEX('Intervals'!$G$4:$G$33,MATCH($B721,'Intervals'!$A$4:$A$33,0))&lt;&gt;"No",N(INDEX('Intervals'!$C$4:$C$33,MATCH($B721,'Intervals'!$A$4:$A$33,0)))&gt;0),$E721+N(INDEX('Intervals'!$C$4:$C$33,MATCH($B721,'Intervals'!$A$4:$A$33,0))),""),""))</f>
        <v/>
      </c>
      <c r="G721" s="20">
        <f>IF(OR($B721="",$D721=""),"",IFERROR(IF(AND(INDEX('Intervals'!$G$4:$G$33,MATCH($B721,'Intervals'!$A$4:$A$33,0))&lt;&gt;"No",N(INDEX('Intervals'!$D$4:$D$33,MATCH($B721,'Intervals'!$A$4:$A$33,0)))&gt;0),EDATE($D721,N(INDEX('Intervals'!$D$4:$D$33,MATCH($B721,'Intervals'!$A$4:$A$33,0)))),""),""))</f>
        <v/>
      </c>
      <c r="H721" s="19">
        <f>IF($A721="","",IFERROR(IF(N(INDEX('Cars'!$H$4:$H$103,MATCH($A721,'Cars'!$A$4:$A$103,0)))&gt;0,INDEX('Cars'!$H$4:$H$103,MATCH($A721,'Cars'!$A$4:$A$103,0)),""),""))</f>
        <v/>
      </c>
      <c r="I721" s="19">
        <f>IF(OR($F721="",$H721=""),"",$F721-$H721)</f>
        <v/>
      </c>
      <c r="J721" s="21">
        <f>IF($G721="","",$G721-TODAY())</f>
        <v/>
      </c>
      <c r="K721" s="21">
        <f>IF($I721="","",IFERROR(IF(N(INDEX('Cars'!$J$4:$J$103,MATCH($A721,'Cars'!$A$4:$A$103,0)))&gt;0,ROUND($I721/INDEX('Cars'!$J$4:$J$103,MATCH($A721,'Cars'!$A$4:$A$103,0))*30,0),""),""))</f>
        <v/>
      </c>
      <c r="L721" s="21">
        <f>IF(AND($J721="",$K721=""),"",MIN(IF($J721="",99999,$J721),IF($K721="",99999,$K721)))</f>
        <v/>
      </c>
      <c r="M721" s="16">
        <f>IF(AND($I721="",$J721=""),"",IF(OR(AND($I721&lt;&gt;"",N($I721)&lt;0),AND($J721&lt;&gt;"",N($J721)&lt;0)),"Overdue",IF(OR(AND($I721&lt;&gt;"",N($I721)&lt;=IFERROR(INDEX('Intervals'!$E$4:$E$33,MATCH($B721,'Intervals'!$A$4:$A$33,0)),500)),AND($J721&lt;&gt;"",N($J721)&lt;=IFERROR(INDEX('Intervals'!$F$4:$F$33,MATCH($B721,'Intervals'!$A$4:$A$33,0)),14))),"Due soon","OK")))</f>
        <v/>
      </c>
      <c r="N721" s="15" t="n"/>
      <c r="O721" s="22">
        <f>IF(OR($M721="",$M721="OK"),"",$L721+ROW()/100000)</f>
        <v/>
      </c>
    </row>
    <row r="722">
      <c r="A722" s="15" t="n"/>
      <c r="B722" s="15" t="n"/>
      <c r="C722" s="16">
        <f>IF($B722="","",IFERROR(INDEX('Intervals'!$B$4:$B$33,MATCH($B722,'Intervals'!$A$4:$A$33,0)),""))</f>
        <v/>
      </c>
      <c r="D722" s="17" t="n"/>
      <c r="E722" s="18" t="n"/>
      <c r="F722" s="19">
        <f>IF(OR($B722="",$E722=""),"",IFERROR(IF(AND(INDEX('Intervals'!$G$4:$G$33,MATCH($B722,'Intervals'!$A$4:$A$33,0))&lt;&gt;"No",N(INDEX('Intervals'!$C$4:$C$33,MATCH($B722,'Intervals'!$A$4:$A$33,0)))&gt;0),$E722+N(INDEX('Intervals'!$C$4:$C$33,MATCH($B722,'Intervals'!$A$4:$A$33,0))),""),""))</f>
        <v/>
      </c>
      <c r="G722" s="20">
        <f>IF(OR($B722="",$D722=""),"",IFERROR(IF(AND(INDEX('Intervals'!$G$4:$G$33,MATCH($B722,'Intervals'!$A$4:$A$33,0))&lt;&gt;"No",N(INDEX('Intervals'!$D$4:$D$33,MATCH($B722,'Intervals'!$A$4:$A$33,0)))&gt;0),EDATE($D722,N(INDEX('Intervals'!$D$4:$D$33,MATCH($B722,'Intervals'!$A$4:$A$33,0)))),""),""))</f>
        <v/>
      </c>
      <c r="H722" s="19">
        <f>IF($A722="","",IFERROR(IF(N(INDEX('Cars'!$H$4:$H$103,MATCH($A722,'Cars'!$A$4:$A$103,0)))&gt;0,INDEX('Cars'!$H$4:$H$103,MATCH($A722,'Cars'!$A$4:$A$103,0)),""),""))</f>
        <v/>
      </c>
      <c r="I722" s="19">
        <f>IF(OR($F722="",$H722=""),"",$F722-$H722)</f>
        <v/>
      </c>
      <c r="J722" s="21">
        <f>IF($G722="","",$G722-TODAY())</f>
        <v/>
      </c>
      <c r="K722" s="21">
        <f>IF($I722="","",IFERROR(IF(N(INDEX('Cars'!$J$4:$J$103,MATCH($A722,'Cars'!$A$4:$A$103,0)))&gt;0,ROUND($I722/INDEX('Cars'!$J$4:$J$103,MATCH($A722,'Cars'!$A$4:$A$103,0))*30,0),""),""))</f>
        <v/>
      </c>
      <c r="L722" s="21">
        <f>IF(AND($J722="",$K722=""),"",MIN(IF($J722="",99999,$J722),IF($K722="",99999,$K722)))</f>
        <v/>
      </c>
      <c r="M722" s="16">
        <f>IF(AND($I722="",$J722=""),"",IF(OR(AND($I722&lt;&gt;"",N($I722)&lt;0),AND($J722&lt;&gt;"",N($J722)&lt;0)),"Overdue",IF(OR(AND($I722&lt;&gt;"",N($I722)&lt;=IFERROR(INDEX('Intervals'!$E$4:$E$33,MATCH($B722,'Intervals'!$A$4:$A$33,0)),500)),AND($J722&lt;&gt;"",N($J722)&lt;=IFERROR(INDEX('Intervals'!$F$4:$F$33,MATCH($B722,'Intervals'!$A$4:$A$33,0)),14))),"Due soon","OK")))</f>
        <v/>
      </c>
      <c r="N722" s="15" t="n"/>
      <c r="O722" s="22">
        <f>IF(OR($M722="",$M722="OK"),"",$L722+ROW()/100000)</f>
        <v/>
      </c>
    </row>
    <row r="723">
      <c r="A723" s="15" t="n"/>
      <c r="B723" s="15" t="n"/>
      <c r="C723" s="16">
        <f>IF($B723="","",IFERROR(INDEX('Intervals'!$B$4:$B$33,MATCH($B723,'Intervals'!$A$4:$A$33,0)),""))</f>
        <v/>
      </c>
      <c r="D723" s="17" t="n"/>
      <c r="E723" s="18" t="n"/>
      <c r="F723" s="19">
        <f>IF(OR($B723="",$E723=""),"",IFERROR(IF(AND(INDEX('Intervals'!$G$4:$G$33,MATCH($B723,'Intervals'!$A$4:$A$33,0))&lt;&gt;"No",N(INDEX('Intervals'!$C$4:$C$33,MATCH($B723,'Intervals'!$A$4:$A$33,0)))&gt;0),$E723+N(INDEX('Intervals'!$C$4:$C$33,MATCH($B723,'Intervals'!$A$4:$A$33,0))),""),""))</f>
        <v/>
      </c>
      <c r="G723" s="20">
        <f>IF(OR($B723="",$D723=""),"",IFERROR(IF(AND(INDEX('Intervals'!$G$4:$G$33,MATCH($B723,'Intervals'!$A$4:$A$33,0))&lt;&gt;"No",N(INDEX('Intervals'!$D$4:$D$33,MATCH($B723,'Intervals'!$A$4:$A$33,0)))&gt;0),EDATE($D723,N(INDEX('Intervals'!$D$4:$D$33,MATCH($B723,'Intervals'!$A$4:$A$33,0)))),""),""))</f>
        <v/>
      </c>
      <c r="H723" s="19">
        <f>IF($A723="","",IFERROR(IF(N(INDEX('Cars'!$H$4:$H$103,MATCH($A723,'Cars'!$A$4:$A$103,0)))&gt;0,INDEX('Cars'!$H$4:$H$103,MATCH($A723,'Cars'!$A$4:$A$103,0)),""),""))</f>
        <v/>
      </c>
      <c r="I723" s="19">
        <f>IF(OR($F723="",$H723=""),"",$F723-$H723)</f>
        <v/>
      </c>
      <c r="J723" s="21">
        <f>IF($G723="","",$G723-TODAY())</f>
        <v/>
      </c>
      <c r="K723" s="21">
        <f>IF($I723="","",IFERROR(IF(N(INDEX('Cars'!$J$4:$J$103,MATCH($A723,'Cars'!$A$4:$A$103,0)))&gt;0,ROUND($I723/INDEX('Cars'!$J$4:$J$103,MATCH($A723,'Cars'!$A$4:$A$103,0))*30,0),""),""))</f>
        <v/>
      </c>
      <c r="L723" s="21">
        <f>IF(AND($J723="",$K723=""),"",MIN(IF($J723="",99999,$J723),IF($K723="",99999,$K723)))</f>
        <v/>
      </c>
      <c r="M723" s="16">
        <f>IF(AND($I723="",$J723=""),"",IF(OR(AND($I723&lt;&gt;"",N($I723)&lt;0),AND($J723&lt;&gt;"",N($J723)&lt;0)),"Overdue",IF(OR(AND($I723&lt;&gt;"",N($I723)&lt;=IFERROR(INDEX('Intervals'!$E$4:$E$33,MATCH($B723,'Intervals'!$A$4:$A$33,0)),500)),AND($J723&lt;&gt;"",N($J723)&lt;=IFERROR(INDEX('Intervals'!$F$4:$F$33,MATCH($B723,'Intervals'!$A$4:$A$33,0)),14))),"Due soon","OK")))</f>
        <v/>
      </c>
      <c r="N723" s="15" t="n"/>
      <c r="O723" s="22">
        <f>IF(OR($M723="",$M723="OK"),"",$L723+ROW()/100000)</f>
        <v/>
      </c>
    </row>
    <row r="724">
      <c r="A724" s="15" t="n"/>
      <c r="B724" s="15" t="n"/>
      <c r="C724" s="16">
        <f>IF($B724="","",IFERROR(INDEX('Intervals'!$B$4:$B$33,MATCH($B724,'Intervals'!$A$4:$A$33,0)),""))</f>
        <v/>
      </c>
      <c r="D724" s="17" t="n"/>
      <c r="E724" s="18" t="n"/>
      <c r="F724" s="19">
        <f>IF(OR($B724="",$E724=""),"",IFERROR(IF(AND(INDEX('Intervals'!$G$4:$G$33,MATCH($B724,'Intervals'!$A$4:$A$33,0))&lt;&gt;"No",N(INDEX('Intervals'!$C$4:$C$33,MATCH($B724,'Intervals'!$A$4:$A$33,0)))&gt;0),$E724+N(INDEX('Intervals'!$C$4:$C$33,MATCH($B724,'Intervals'!$A$4:$A$33,0))),""),""))</f>
        <v/>
      </c>
      <c r="G724" s="20">
        <f>IF(OR($B724="",$D724=""),"",IFERROR(IF(AND(INDEX('Intervals'!$G$4:$G$33,MATCH($B724,'Intervals'!$A$4:$A$33,0))&lt;&gt;"No",N(INDEX('Intervals'!$D$4:$D$33,MATCH($B724,'Intervals'!$A$4:$A$33,0)))&gt;0),EDATE($D724,N(INDEX('Intervals'!$D$4:$D$33,MATCH($B724,'Intervals'!$A$4:$A$33,0)))),""),""))</f>
        <v/>
      </c>
      <c r="H724" s="19">
        <f>IF($A724="","",IFERROR(IF(N(INDEX('Cars'!$H$4:$H$103,MATCH($A724,'Cars'!$A$4:$A$103,0)))&gt;0,INDEX('Cars'!$H$4:$H$103,MATCH($A724,'Cars'!$A$4:$A$103,0)),""),""))</f>
        <v/>
      </c>
      <c r="I724" s="19">
        <f>IF(OR($F724="",$H724=""),"",$F724-$H724)</f>
        <v/>
      </c>
      <c r="J724" s="21">
        <f>IF($G724="","",$G724-TODAY())</f>
        <v/>
      </c>
      <c r="K724" s="21">
        <f>IF($I724="","",IFERROR(IF(N(INDEX('Cars'!$J$4:$J$103,MATCH($A724,'Cars'!$A$4:$A$103,0)))&gt;0,ROUND($I724/INDEX('Cars'!$J$4:$J$103,MATCH($A724,'Cars'!$A$4:$A$103,0))*30,0),""),""))</f>
        <v/>
      </c>
      <c r="L724" s="21">
        <f>IF(AND($J724="",$K724=""),"",MIN(IF($J724="",99999,$J724),IF($K724="",99999,$K724)))</f>
        <v/>
      </c>
      <c r="M724" s="16">
        <f>IF(AND($I724="",$J724=""),"",IF(OR(AND($I724&lt;&gt;"",N($I724)&lt;0),AND($J724&lt;&gt;"",N($J724)&lt;0)),"Overdue",IF(OR(AND($I724&lt;&gt;"",N($I724)&lt;=IFERROR(INDEX('Intervals'!$E$4:$E$33,MATCH($B724,'Intervals'!$A$4:$A$33,0)),500)),AND($J724&lt;&gt;"",N($J724)&lt;=IFERROR(INDEX('Intervals'!$F$4:$F$33,MATCH($B724,'Intervals'!$A$4:$A$33,0)),14))),"Due soon","OK")))</f>
        <v/>
      </c>
      <c r="N724" s="15" t="n"/>
      <c r="O724" s="22">
        <f>IF(OR($M724="",$M724="OK"),"",$L724+ROW()/100000)</f>
        <v/>
      </c>
    </row>
    <row r="725">
      <c r="A725" s="15" t="n"/>
      <c r="B725" s="15" t="n"/>
      <c r="C725" s="16">
        <f>IF($B725="","",IFERROR(INDEX('Intervals'!$B$4:$B$33,MATCH($B725,'Intervals'!$A$4:$A$33,0)),""))</f>
        <v/>
      </c>
      <c r="D725" s="17" t="n"/>
      <c r="E725" s="18" t="n"/>
      <c r="F725" s="19">
        <f>IF(OR($B725="",$E725=""),"",IFERROR(IF(AND(INDEX('Intervals'!$G$4:$G$33,MATCH($B725,'Intervals'!$A$4:$A$33,0))&lt;&gt;"No",N(INDEX('Intervals'!$C$4:$C$33,MATCH($B725,'Intervals'!$A$4:$A$33,0)))&gt;0),$E725+N(INDEX('Intervals'!$C$4:$C$33,MATCH($B725,'Intervals'!$A$4:$A$33,0))),""),""))</f>
        <v/>
      </c>
      <c r="G725" s="20">
        <f>IF(OR($B725="",$D725=""),"",IFERROR(IF(AND(INDEX('Intervals'!$G$4:$G$33,MATCH($B725,'Intervals'!$A$4:$A$33,0))&lt;&gt;"No",N(INDEX('Intervals'!$D$4:$D$33,MATCH($B725,'Intervals'!$A$4:$A$33,0)))&gt;0),EDATE($D725,N(INDEX('Intervals'!$D$4:$D$33,MATCH($B725,'Intervals'!$A$4:$A$33,0)))),""),""))</f>
        <v/>
      </c>
      <c r="H725" s="19">
        <f>IF($A725="","",IFERROR(IF(N(INDEX('Cars'!$H$4:$H$103,MATCH($A725,'Cars'!$A$4:$A$103,0)))&gt;0,INDEX('Cars'!$H$4:$H$103,MATCH($A725,'Cars'!$A$4:$A$103,0)),""),""))</f>
        <v/>
      </c>
      <c r="I725" s="19">
        <f>IF(OR($F725="",$H725=""),"",$F725-$H725)</f>
        <v/>
      </c>
      <c r="J725" s="21">
        <f>IF($G725="","",$G725-TODAY())</f>
        <v/>
      </c>
      <c r="K725" s="21">
        <f>IF($I725="","",IFERROR(IF(N(INDEX('Cars'!$J$4:$J$103,MATCH($A725,'Cars'!$A$4:$A$103,0)))&gt;0,ROUND($I725/INDEX('Cars'!$J$4:$J$103,MATCH($A725,'Cars'!$A$4:$A$103,0))*30,0),""),""))</f>
        <v/>
      </c>
      <c r="L725" s="21">
        <f>IF(AND($J725="",$K725=""),"",MIN(IF($J725="",99999,$J725),IF($K725="",99999,$K725)))</f>
        <v/>
      </c>
      <c r="M725" s="16">
        <f>IF(AND($I725="",$J725=""),"",IF(OR(AND($I725&lt;&gt;"",N($I725)&lt;0),AND($J725&lt;&gt;"",N($J725)&lt;0)),"Overdue",IF(OR(AND($I725&lt;&gt;"",N($I725)&lt;=IFERROR(INDEX('Intervals'!$E$4:$E$33,MATCH($B725,'Intervals'!$A$4:$A$33,0)),500)),AND($J725&lt;&gt;"",N($J725)&lt;=IFERROR(INDEX('Intervals'!$F$4:$F$33,MATCH($B725,'Intervals'!$A$4:$A$33,0)),14))),"Due soon","OK")))</f>
        <v/>
      </c>
      <c r="N725" s="15" t="n"/>
      <c r="O725" s="22">
        <f>IF(OR($M725="",$M725="OK"),"",$L725+ROW()/100000)</f>
        <v/>
      </c>
    </row>
    <row r="726">
      <c r="A726" s="15" t="n"/>
      <c r="B726" s="15" t="n"/>
      <c r="C726" s="16">
        <f>IF($B726="","",IFERROR(INDEX('Intervals'!$B$4:$B$33,MATCH($B726,'Intervals'!$A$4:$A$33,0)),""))</f>
        <v/>
      </c>
      <c r="D726" s="17" t="n"/>
      <c r="E726" s="18" t="n"/>
      <c r="F726" s="19">
        <f>IF(OR($B726="",$E726=""),"",IFERROR(IF(AND(INDEX('Intervals'!$G$4:$G$33,MATCH($B726,'Intervals'!$A$4:$A$33,0))&lt;&gt;"No",N(INDEX('Intervals'!$C$4:$C$33,MATCH($B726,'Intervals'!$A$4:$A$33,0)))&gt;0),$E726+N(INDEX('Intervals'!$C$4:$C$33,MATCH($B726,'Intervals'!$A$4:$A$33,0))),""),""))</f>
        <v/>
      </c>
      <c r="G726" s="20">
        <f>IF(OR($B726="",$D726=""),"",IFERROR(IF(AND(INDEX('Intervals'!$G$4:$G$33,MATCH($B726,'Intervals'!$A$4:$A$33,0))&lt;&gt;"No",N(INDEX('Intervals'!$D$4:$D$33,MATCH($B726,'Intervals'!$A$4:$A$33,0)))&gt;0),EDATE($D726,N(INDEX('Intervals'!$D$4:$D$33,MATCH($B726,'Intervals'!$A$4:$A$33,0)))),""),""))</f>
        <v/>
      </c>
      <c r="H726" s="19">
        <f>IF($A726="","",IFERROR(IF(N(INDEX('Cars'!$H$4:$H$103,MATCH($A726,'Cars'!$A$4:$A$103,0)))&gt;0,INDEX('Cars'!$H$4:$H$103,MATCH($A726,'Cars'!$A$4:$A$103,0)),""),""))</f>
        <v/>
      </c>
      <c r="I726" s="19">
        <f>IF(OR($F726="",$H726=""),"",$F726-$H726)</f>
        <v/>
      </c>
      <c r="J726" s="21">
        <f>IF($G726="","",$G726-TODAY())</f>
        <v/>
      </c>
      <c r="K726" s="21">
        <f>IF($I726="","",IFERROR(IF(N(INDEX('Cars'!$J$4:$J$103,MATCH($A726,'Cars'!$A$4:$A$103,0)))&gt;0,ROUND($I726/INDEX('Cars'!$J$4:$J$103,MATCH($A726,'Cars'!$A$4:$A$103,0))*30,0),""),""))</f>
        <v/>
      </c>
      <c r="L726" s="21">
        <f>IF(AND($J726="",$K726=""),"",MIN(IF($J726="",99999,$J726),IF($K726="",99999,$K726)))</f>
        <v/>
      </c>
      <c r="M726" s="16">
        <f>IF(AND($I726="",$J726=""),"",IF(OR(AND($I726&lt;&gt;"",N($I726)&lt;0),AND($J726&lt;&gt;"",N($J726)&lt;0)),"Overdue",IF(OR(AND($I726&lt;&gt;"",N($I726)&lt;=IFERROR(INDEX('Intervals'!$E$4:$E$33,MATCH($B726,'Intervals'!$A$4:$A$33,0)),500)),AND($J726&lt;&gt;"",N($J726)&lt;=IFERROR(INDEX('Intervals'!$F$4:$F$33,MATCH($B726,'Intervals'!$A$4:$A$33,0)),14))),"Due soon","OK")))</f>
        <v/>
      </c>
      <c r="N726" s="15" t="n"/>
      <c r="O726" s="22">
        <f>IF(OR($M726="",$M726="OK"),"",$L726+ROW()/100000)</f>
        <v/>
      </c>
    </row>
    <row r="727">
      <c r="A727" s="15" t="n"/>
      <c r="B727" s="15" t="n"/>
      <c r="C727" s="16">
        <f>IF($B727="","",IFERROR(INDEX('Intervals'!$B$4:$B$33,MATCH($B727,'Intervals'!$A$4:$A$33,0)),""))</f>
        <v/>
      </c>
      <c r="D727" s="17" t="n"/>
      <c r="E727" s="18" t="n"/>
      <c r="F727" s="19">
        <f>IF(OR($B727="",$E727=""),"",IFERROR(IF(AND(INDEX('Intervals'!$G$4:$G$33,MATCH($B727,'Intervals'!$A$4:$A$33,0))&lt;&gt;"No",N(INDEX('Intervals'!$C$4:$C$33,MATCH($B727,'Intervals'!$A$4:$A$33,0)))&gt;0),$E727+N(INDEX('Intervals'!$C$4:$C$33,MATCH($B727,'Intervals'!$A$4:$A$33,0))),""),""))</f>
        <v/>
      </c>
      <c r="G727" s="20">
        <f>IF(OR($B727="",$D727=""),"",IFERROR(IF(AND(INDEX('Intervals'!$G$4:$G$33,MATCH($B727,'Intervals'!$A$4:$A$33,0))&lt;&gt;"No",N(INDEX('Intervals'!$D$4:$D$33,MATCH($B727,'Intervals'!$A$4:$A$33,0)))&gt;0),EDATE($D727,N(INDEX('Intervals'!$D$4:$D$33,MATCH($B727,'Intervals'!$A$4:$A$33,0)))),""),""))</f>
        <v/>
      </c>
      <c r="H727" s="19">
        <f>IF($A727="","",IFERROR(IF(N(INDEX('Cars'!$H$4:$H$103,MATCH($A727,'Cars'!$A$4:$A$103,0)))&gt;0,INDEX('Cars'!$H$4:$H$103,MATCH($A727,'Cars'!$A$4:$A$103,0)),""),""))</f>
        <v/>
      </c>
      <c r="I727" s="19">
        <f>IF(OR($F727="",$H727=""),"",$F727-$H727)</f>
        <v/>
      </c>
      <c r="J727" s="21">
        <f>IF($G727="","",$G727-TODAY())</f>
        <v/>
      </c>
      <c r="K727" s="21">
        <f>IF($I727="","",IFERROR(IF(N(INDEX('Cars'!$J$4:$J$103,MATCH($A727,'Cars'!$A$4:$A$103,0)))&gt;0,ROUND($I727/INDEX('Cars'!$J$4:$J$103,MATCH($A727,'Cars'!$A$4:$A$103,0))*30,0),""),""))</f>
        <v/>
      </c>
      <c r="L727" s="21">
        <f>IF(AND($J727="",$K727=""),"",MIN(IF($J727="",99999,$J727),IF($K727="",99999,$K727)))</f>
        <v/>
      </c>
      <c r="M727" s="16">
        <f>IF(AND($I727="",$J727=""),"",IF(OR(AND($I727&lt;&gt;"",N($I727)&lt;0),AND($J727&lt;&gt;"",N($J727)&lt;0)),"Overdue",IF(OR(AND($I727&lt;&gt;"",N($I727)&lt;=IFERROR(INDEX('Intervals'!$E$4:$E$33,MATCH($B727,'Intervals'!$A$4:$A$33,0)),500)),AND($J727&lt;&gt;"",N($J727)&lt;=IFERROR(INDEX('Intervals'!$F$4:$F$33,MATCH($B727,'Intervals'!$A$4:$A$33,0)),14))),"Due soon","OK")))</f>
        <v/>
      </c>
      <c r="N727" s="15" t="n"/>
      <c r="O727" s="22">
        <f>IF(OR($M727="",$M727="OK"),"",$L727+ROW()/100000)</f>
        <v/>
      </c>
    </row>
    <row r="728">
      <c r="A728" s="15" t="n"/>
      <c r="B728" s="15" t="n"/>
      <c r="C728" s="16">
        <f>IF($B728="","",IFERROR(INDEX('Intervals'!$B$4:$B$33,MATCH($B728,'Intervals'!$A$4:$A$33,0)),""))</f>
        <v/>
      </c>
      <c r="D728" s="17" t="n"/>
      <c r="E728" s="18" t="n"/>
      <c r="F728" s="19">
        <f>IF(OR($B728="",$E728=""),"",IFERROR(IF(AND(INDEX('Intervals'!$G$4:$G$33,MATCH($B728,'Intervals'!$A$4:$A$33,0))&lt;&gt;"No",N(INDEX('Intervals'!$C$4:$C$33,MATCH($B728,'Intervals'!$A$4:$A$33,0)))&gt;0),$E728+N(INDEX('Intervals'!$C$4:$C$33,MATCH($B728,'Intervals'!$A$4:$A$33,0))),""),""))</f>
        <v/>
      </c>
      <c r="G728" s="20">
        <f>IF(OR($B728="",$D728=""),"",IFERROR(IF(AND(INDEX('Intervals'!$G$4:$G$33,MATCH($B728,'Intervals'!$A$4:$A$33,0))&lt;&gt;"No",N(INDEX('Intervals'!$D$4:$D$33,MATCH($B728,'Intervals'!$A$4:$A$33,0)))&gt;0),EDATE($D728,N(INDEX('Intervals'!$D$4:$D$33,MATCH($B728,'Intervals'!$A$4:$A$33,0)))),""),""))</f>
        <v/>
      </c>
      <c r="H728" s="19">
        <f>IF($A728="","",IFERROR(IF(N(INDEX('Cars'!$H$4:$H$103,MATCH($A728,'Cars'!$A$4:$A$103,0)))&gt;0,INDEX('Cars'!$H$4:$H$103,MATCH($A728,'Cars'!$A$4:$A$103,0)),""),""))</f>
        <v/>
      </c>
      <c r="I728" s="19">
        <f>IF(OR($F728="",$H728=""),"",$F728-$H728)</f>
        <v/>
      </c>
      <c r="J728" s="21">
        <f>IF($G728="","",$G728-TODAY())</f>
        <v/>
      </c>
      <c r="K728" s="21">
        <f>IF($I728="","",IFERROR(IF(N(INDEX('Cars'!$J$4:$J$103,MATCH($A728,'Cars'!$A$4:$A$103,0)))&gt;0,ROUND($I728/INDEX('Cars'!$J$4:$J$103,MATCH($A728,'Cars'!$A$4:$A$103,0))*30,0),""),""))</f>
        <v/>
      </c>
      <c r="L728" s="21">
        <f>IF(AND($J728="",$K728=""),"",MIN(IF($J728="",99999,$J728),IF($K728="",99999,$K728)))</f>
        <v/>
      </c>
      <c r="M728" s="16">
        <f>IF(AND($I728="",$J728=""),"",IF(OR(AND($I728&lt;&gt;"",N($I728)&lt;0),AND($J728&lt;&gt;"",N($J728)&lt;0)),"Overdue",IF(OR(AND($I728&lt;&gt;"",N($I728)&lt;=IFERROR(INDEX('Intervals'!$E$4:$E$33,MATCH($B728,'Intervals'!$A$4:$A$33,0)),500)),AND($J728&lt;&gt;"",N($J728)&lt;=IFERROR(INDEX('Intervals'!$F$4:$F$33,MATCH($B728,'Intervals'!$A$4:$A$33,0)),14))),"Due soon","OK")))</f>
        <v/>
      </c>
      <c r="N728" s="15" t="n"/>
      <c r="O728" s="22">
        <f>IF(OR($M728="",$M728="OK"),"",$L728+ROW()/100000)</f>
        <v/>
      </c>
    </row>
    <row r="729">
      <c r="A729" s="15" t="n"/>
      <c r="B729" s="15" t="n"/>
      <c r="C729" s="16">
        <f>IF($B729="","",IFERROR(INDEX('Intervals'!$B$4:$B$33,MATCH($B729,'Intervals'!$A$4:$A$33,0)),""))</f>
        <v/>
      </c>
      <c r="D729" s="17" t="n"/>
      <c r="E729" s="18" t="n"/>
      <c r="F729" s="19">
        <f>IF(OR($B729="",$E729=""),"",IFERROR(IF(AND(INDEX('Intervals'!$G$4:$G$33,MATCH($B729,'Intervals'!$A$4:$A$33,0))&lt;&gt;"No",N(INDEX('Intervals'!$C$4:$C$33,MATCH($B729,'Intervals'!$A$4:$A$33,0)))&gt;0),$E729+N(INDEX('Intervals'!$C$4:$C$33,MATCH($B729,'Intervals'!$A$4:$A$33,0))),""),""))</f>
        <v/>
      </c>
      <c r="G729" s="20">
        <f>IF(OR($B729="",$D729=""),"",IFERROR(IF(AND(INDEX('Intervals'!$G$4:$G$33,MATCH($B729,'Intervals'!$A$4:$A$33,0))&lt;&gt;"No",N(INDEX('Intervals'!$D$4:$D$33,MATCH($B729,'Intervals'!$A$4:$A$33,0)))&gt;0),EDATE($D729,N(INDEX('Intervals'!$D$4:$D$33,MATCH($B729,'Intervals'!$A$4:$A$33,0)))),""),""))</f>
        <v/>
      </c>
      <c r="H729" s="19">
        <f>IF($A729="","",IFERROR(IF(N(INDEX('Cars'!$H$4:$H$103,MATCH($A729,'Cars'!$A$4:$A$103,0)))&gt;0,INDEX('Cars'!$H$4:$H$103,MATCH($A729,'Cars'!$A$4:$A$103,0)),""),""))</f>
        <v/>
      </c>
      <c r="I729" s="19">
        <f>IF(OR($F729="",$H729=""),"",$F729-$H729)</f>
        <v/>
      </c>
      <c r="J729" s="21">
        <f>IF($G729="","",$G729-TODAY())</f>
        <v/>
      </c>
      <c r="K729" s="21">
        <f>IF($I729="","",IFERROR(IF(N(INDEX('Cars'!$J$4:$J$103,MATCH($A729,'Cars'!$A$4:$A$103,0)))&gt;0,ROUND($I729/INDEX('Cars'!$J$4:$J$103,MATCH($A729,'Cars'!$A$4:$A$103,0))*30,0),""),""))</f>
        <v/>
      </c>
      <c r="L729" s="21">
        <f>IF(AND($J729="",$K729=""),"",MIN(IF($J729="",99999,$J729),IF($K729="",99999,$K729)))</f>
        <v/>
      </c>
      <c r="M729" s="16">
        <f>IF(AND($I729="",$J729=""),"",IF(OR(AND($I729&lt;&gt;"",N($I729)&lt;0),AND($J729&lt;&gt;"",N($J729)&lt;0)),"Overdue",IF(OR(AND($I729&lt;&gt;"",N($I729)&lt;=IFERROR(INDEX('Intervals'!$E$4:$E$33,MATCH($B729,'Intervals'!$A$4:$A$33,0)),500)),AND($J729&lt;&gt;"",N($J729)&lt;=IFERROR(INDEX('Intervals'!$F$4:$F$33,MATCH($B729,'Intervals'!$A$4:$A$33,0)),14))),"Due soon","OK")))</f>
        <v/>
      </c>
      <c r="N729" s="15" t="n"/>
      <c r="O729" s="22">
        <f>IF(OR($M729="",$M729="OK"),"",$L729+ROW()/100000)</f>
        <v/>
      </c>
    </row>
    <row r="730">
      <c r="A730" s="15" t="n"/>
      <c r="B730" s="15" t="n"/>
      <c r="C730" s="16">
        <f>IF($B730="","",IFERROR(INDEX('Intervals'!$B$4:$B$33,MATCH($B730,'Intervals'!$A$4:$A$33,0)),""))</f>
        <v/>
      </c>
      <c r="D730" s="17" t="n"/>
      <c r="E730" s="18" t="n"/>
      <c r="F730" s="19">
        <f>IF(OR($B730="",$E730=""),"",IFERROR(IF(AND(INDEX('Intervals'!$G$4:$G$33,MATCH($B730,'Intervals'!$A$4:$A$33,0))&lt;&gt;"No",N(INDEX('Intervals'!$C$4:$C$33,MATCH($B730,'Intervals'!$A$4:$A$33,0)))&gt;0),$E730+N(INDEX('Intervals'!$C$4:$C$33,MATCH($B730,'Intervals'!$A$4:$A$33,0))),""),""))</f>
        <v/>
      </c>
      <c r="G730" s="20">
        <f>IF(OR($B730="",$D730=""),"",IFERROR(IF(AND(INDEX('Intervals'!$G$4:$G$33,MATCH($B730,'Intervals'!$A$4:$A$33,0))&lt;&gt;"No",N(INDEX('Intervals'!$D$4:$D$33,MATCH($B730,'Intervals'!$A$4:$A$33,0)))&gt;0),EDATE($D730,N(INDEX('Intervals'!$D$4:$D$33,MATCH($B730,'Intervals'!$A$4:$A$33,0)))),""),""))</f>
        <v/>
      </c>
      <c r="H730" s="19">
        <f>IF($A730="","",IFERROR(IF(N(INDEX('Cars'!$H$4:$H$103,MATCH($A730,'Cars'!$A$4:$A$103,0)))&gt;0,INDEX('Cars'!$H$4:$H$103,MATCH($A730,'Cars'!$A$4:$A$103,0)),""),""))</f>
        <v/>
      </c>
      <c r="I730" s="19">
        <f>IF(OR($F730="",$H730=""),"",$F730-$H730)</f>
        <v/>
      </c>
      <c r="J730" s="21">
        <f>IF($G730="","",$G730-TODAY())</f>
        <v/>
      </c>
      <c r="K730" s="21">
        <f>IF($I730="","",IFERROR(IF(N(INDEX('Cars'!$J$4:$J$103,MATCH($A730,'Cars'!$A$4:$A$103,0)))&gt;0,ROUND($I730/INDEX('Cars'!$J$4:$J$103,MATCH($A730,'Cars'!$A$4:$A$103,0))*30,0),""),""))</f>
        <v/>
      </c>
      <c r="L730" s="21">
        <f>IF(AND($J730="",$K730=""),"",MIN(IF($J730="",99999,$J730),IF($K730="",99999,$K730)))</f>
        <v/>
      </c>
      <c r="M730" s="16">
        <f>IF(AND($I730="",$J730=""),"",IF(OR(AND($I730&lt;&gt;"",N($I730)&lt;0),AND($J730&lt;&gt;"",N($J730)&lt;0)),"Overdue",IF(OR(AND($I730&lt;&gt;"",N($I730)&lt;=IFERROR(INDEX('Intervals'!$E$4:$E$33,MATCH($B730,'Intervals'!$A$4:$A$33,0)),500)),AND($J730&lt;&gt;"",N($J730)&lt;=IFERROR(INDEX('Intervals'!$F$4:$F$33,MATCH($B730,'Intervals'!$A$4:$A$33,0)),14))),"Due soon","OK")))</f>
        <v/>
      </c>
      <c r="N730" s="15" t="n"/>
      <c r="O730" s="22">
        <f>IF(OR($M730="",$M730="OK"),"",$L730+ROW()/100000)</f>
        <v/>
      </c>
    </row>
    <row r="731">
      <c r="A731" s="15" t="n"/>
      <c r="B731" s="15" t="n"/>
      <c r="C731" s="16">
        <f>IF($B731="","",IFERROR(INDEX('Intervals'!$B$4:$B$33,MATCH($B731,'Intervals'!$A$4:$A$33,0)),""))</f>
        <v/>
      </c>
      <c r="D731" s="17" t="n"/>
      <c r="E731" s="18" t="n"/>
      <c r="F731" s="19">
        <f>IF(OR($B731="",$E731=""),"",IFERROR(IF(AND(INDEX('Intervals'!$G$4:$G$33,MATCH($B731,'Intervals'!$A$4:$A$33,0))&lt;&gt;"No",N(INDEX('Intervals'!$C$4:$C$33,MATCH($B731,'Intervals'!$A$4:$A$33,0)))&gt;0),$E731+N(INDEX('Intervals'!$C$4:$C$33,MATCH($B731,'Intervals'!$A$4:$A$33,0))),""),""))</f>
        <v/>
      </c>
      <c r="G731" s="20">
        <f>IF(OR($B731="",$D731=""),"",IFERROR(IF(AND(INDEX('Intervals'!$G$4:$G$33,MATCH($B731,'Intervals'!$A$4:$A$33,0))&lt;&gt;"No",N(INDEX('Intervals'!$D$4:$D$33,MATCH($B731,'Intervals'!$A$4:$A$33,0)))&gt;0),EDATE($D731,N(INDEX('Intervals'!$D$4:$D$33,MATCH($B731,'Intervals'!$A$4:$A$33,0)))),""),""))</f>
        <v/>
      </c>
      <c r="H731" s="19">
        <f>IF($A731="","",IFERROR(IF(N(INDEX('Cars'!$H$4:$H$103,MATCH($A731,'Cars'!$A$4:$A$103,0)))&gt;0,INDEX('Cars'!$H$4:$H$103,MATCH($A731,'Cars'!$A$4:$A$103,0)),""),""))</f>
        <v/>
      </c>
      <c r="I731" s="19">
        <f>IF(OR($F731="",$H731=""),"",$F731-$H731)</f>
        <v/>
      </c>
      <c r="J731" s="21">
        <f>IF($G731="","",$G731-TODAY())</f>
        <v/>
      </c>
      <c r="K731" s="21">
        <f>IF($I731="","",IFERROR(IF(N(INDEX('Cars'!$J$4:$J$103,MATCH($A731,'Cars'!$A$4:$A$103,0)))&gt;0,ROUND($I731/INDEX('Cars'!$J$4:$J$103,MATCH($A731,'Cars'!$A$4:$A$103,0))*30,0),""),""))</f>
        <v/>
      </c>
      <c r="L731" s="21">
        <f>IF(AND($J731="",$K731=""),"",MIN(IF($J731="",99999,$J731),IF($K731="",99999,$K731)))</f>
        <v/>
      </c>
      <c r="M731" s="16">
        <f>IF(AND($I731="",$J731=""),"",IF(OR(AND($I731&lt;&gt;"",N($I731)&lt;0),AND($J731&lt;&gt;"",N($J731)&lt;0)),"Overdue",IF(OR(AND($I731&lt;&gt;"",N($I731)&lt;=IFERROR(INDEX('Intervals'!$E$4:$E$33,MATCH($B731,'Intervals'!$A$4:$A$33,0)),500)),AND($J731&lt;&gt;"",N($J731)&lt;=IFERROR(INDEX('Intervals'!$F$4:$F$33,MATCH($B731,'Intervals'!$A$4:$A$33,0)),14))),"Due soon","OK")))</f>
        <v/>
      </c>
      <c r="N731" s="15" t="n"/>
      <c r="O731" s="22">
        <f>IF(OR($M731="",$M731="OK"),"",$L731+ROW()/100000)</f>
        <v/>
      </c>
    </row>
    <row r="732">
      <c r="A732" s="15" t="n"/>
      <c r="B732" s="15" t="n"/>
      <c r="C732" s="16">
        <f>IF($B732="","",IFERROR(INDEX('Intervals'!$B$4:$B$33,MATCH($B732,'Intervals'!$A$4:$A$33,0)),""))</f>
        <v/>
      </c>
      <c r="D732" s="17" t="n"/>
      <c r="E732" s="18" t="n"/>
      <c r="F732" s="19">
        <f>IF(OR($B732="",$E732=""),"",IFERROR(IF(AND(INDEX('Intervals'!$G$4:$G$33,MATCH($B732,'Intervals'!$A$4:$A$33,0))&lt;&gt;"No",N(INDEX('Intervals'!$C$4:$C$33,MATCH($B732,'Intervals'!$A$4:$A$33,0)))&gt;0),$E732+N(INDEX('Intervals'!$C$4:$C$33,MATCH($B732,'Intervals'!$A$4:$A$33,0))),""),""))</f>
        <v/>
      </c>
      <c r="G732" s="20">
        <f>IF(OR($B732="",$D732=""),"",IFERROR(IF(AND(INDEX('Intervals'!$G$4:$G$33,MATCH($B732,'Intervals'!$A$4:$A$33,0))&lt;&gt;"No",N(INDEX('Intervals'!$D$4:$D$33,MATCH($B732,'Intervals'!$A$4:$A$33,0)))&gt;0),EDATE($D732,N(INDEX('Intervals'!$D$4:$D$33,MATCH($B732,'Intervals'!$A$4:$A$33,0)))),""),""))</f>
        <v/>
      </c>
      <c r="H732" s="19">
        <f>IF($A732="","",IFERROR(IF(N(INDEX('Cars'!$H$4:$H$103,MATCH($A732,'Cars'!$A$4:$A$103,0)))&gt;0,INDEX('Cars'!$H$4:$H$103,MATCH($A732,'Cars'!$A$4:$A$103,0)),""),""))</f>
        <v/>
      </c>
      <c r="I732" s="19">
        <f>IF(OR($F732="",$H732=""),"",$F732-$H732)</f>
        <v/>
      </c>
      <c r="J732" s="21">
        <f>IF($G732="","",$G732-TODAY())</f>
        <v/>
      </c>
      <c r="K732" s="21">
        <f>IF($I732="","",IFERROR(IF(N(INDEX('Cars'!$J$4:$J$103,MATCH($A732,'Cars'!$A$4:$A$103,0)))&gt;0,ROUND($I732/INDEX('Cars'!$J$4:$J$103,MATCH($A732,'Cars'!$A$4:$A$103,0))*30,0),""),""))</f>
        <v/>
      </c>
      <c r="L732" s="21">
        <f>IF(AND($J732="",$K732=""),"",MIN(IF($J732="",99999,$J732),IF($K732="",99999,$K732)))</f>
        <v/>
      </c>
      <c r="M732" s="16">
        <f>IF(AND($I732="",$J732=""),"",IF(OR(AND($I732&lt;&gt;"",N($I732)&lt;0),AND($J732&lt;&gt;"",N($J732)&lt;0)),"Overdue",IF(OR(AND($I732&lt;&gt;"",N($I732)&lt;=IFERROR(INDEX('Intervals'!$E$4:$E$33,MATCH($B732,'Intervals'!$A$4:$A$33,0)),500)),AND($J732&lt;&gt;"",N($J732)&lt;=IFERROR(INDEX('Intervals'!$F$4:$F$33,MATCH($B732,'Intervals'!$A$4:$A$33,0)),14))),"Due soon","OK")))</f>
        <v/>
      </c>
      <c r="N732" s="15" t="n"/>
      <c r="O732" s="22">
        <f>IF(OR($M732="",$M732="OK"),"",$L732+ROW()/100000)</f>
        <v/>
      </c>
    </row>
    <row r="733">
      <c r="A733" s="15" t="n"/>
      <c r="B733" s="15" t="n"/>
      <c r="C733" s="16">
        <f>IF($B733="","",IFERROR(INDEX('Intervals'!$B$4:$B$33,MATCH($B733,'Intervals'!$A$4:$A$33,0)),""))</f>
        <v/>
      </c>
      <c r="D733" s="17" t="n"/>
      <c r="E733" s="18" t="n"/>
      <c r="F733" s="19">
        <f>IF(OR($B733="",$E733=""),"",IFERROR(IF(AND(INDEX('Intervals'!$G$4:$G$33,MATCH($B733,'Intervals'!$A$4:$A$33,0))&lt;&gt;"No",N(INDEX('Intervals'!$C$4:$C$33,MATCH($B733,'Intervals'!$A$4:$A$33,0)))&gt;0),$E733+N(INDEX('Intervals'!$C$4:$C$33,MATCH($B733,'Intervals'!$A$4:$A$33,0))),""),""))</f>
        <v/>
      </c>
      <c r="G733" s="20">
        <f>IF(OR($B733="",$D733=""),"",IFERROR(IF(AND(INDEX('Intervals'!$G$4:$G$33,MATCH($B733,'Intervals'!$A$4:$A$33,0))&lt;&gt;"No",N(INDEX('Intervals'!$D$4:$D$33,MATCH($B733,'Intervals'!$A$4:$A$33,0)))&gt;0),EDATE($D733,N(INDEX('Intervals'!$D$4:$D$33,MATCH($B733,'Intervals'!$A$4:$A$33,0)))),""),""))</f>
        <v/>
      </c>
      <c r="H733" s="19">
        <f>IF($A733="","",IFERROR(IF(N(INDEX('Cars'!$H$4:$H$103,MATCH($A733,'Cars'!$A$4:$A$103,0)))&gt;0,INDEX('Cars'!$H$4:$H$103,MATCH($A733,'Cars'!$A$4:$A$103,0)),""),""))</f>
        <v/>
      </c>
      <c r="I733" s="19">
        <f>IF(OR($F733="",$H733=""),"",$F733-$H733)</f>
        <v/>
      </c>
      <c r="J733" s="21">
        <f>IF($G733="","",$G733-TODAY())</f>
        <v/>
      </c>
      <c r="K733" s="21">
        <f>IF($I733="","",IFERROR(IF(N(INDEX('Cars'!$J$4:$J$103,MATCH($A733,'Cars'!$A$4:$A$103,0)))&gt;0,ROUND($I733/INDEX('Cars'!$J$4:$J$103,MATCH($A733,'Cars'!$A$4:$A$103,0))*30,0),""),""))</f>
        <v/>
      </c>
      <c r="L733" s="21">
        <f>IF(AND($J733="",$K733=""),"",MIN(IF($J733="",99999,$J733),IF($K733="",99999,$K733)))</f>
        <v/>
      </c>
      <c r="M733" s="16">
        <f>IF(AND($I733="",$J733=""),"",IF(OR(AND($I733&lt;&gt;"",N($I733)&lt;0),AND($J733&lt;&gt;"",N($J733)&lt;0)),"Overdue",IF(OR(AND($I733&lt;&gt;"",N($I733)&lt;=IFERROR(INDEX('Intervals'!$E$4:$E$33,MATCH($B733,'Intervals'!$A$4:$A$33,0)),500)),AND($J733&lt;&gt;"",N($J733)&lt;=IFERROR(INDEX('Intervals'!$F$4:$F$33,MATCH($B733,'Intervals'!$A$4:$A$33,0)),14))),"Due soon","OK")))</f>
        <v/>
      </c>
      <c r="N733" s="15" t="n"/>
      <c r="O733" s="22">
        <f>IF(OR($M733="",$M733="OK"),"",$L733+ROW()/100000)</f>
        <v/>
      </c>
    </row>
    <row r="734">
      <c r="A734" s="15" t="n"/>
      <c r="B734" s="15" t="n"/>
      <c r="C734" s="16">
        <f>IF($B734="","",IFERROR(INDEX('Intervals'!$B$4:$B$33,MATCH($B734,'Intervals'!$A$4:$A$33,0)),""))</f>
        <v/>
      </c>
      <c r="D734" s="17" t="n"/>
      <c r="E734" s="18" t="n"/>
      <c r="F734" s="19">
        <f>IF(OR($B734="",$E734=""),"",IFERROR(IF(AND(INDEX('Intervals'!$G$4:$G$33,MATCH($B734,'Intervals'!$A$4:$A$33,0))&lt;&gt;"No",N(INDEX('Intervals'!$C$4:$C$33,MATCH($B734,'Intervals'!$A$4:$A$33,0)))&gt;0),$E734+N(INDEX('Intervals'!$C$4:$C$33,MATCH($B734,'Intervals'!$A$4:$A$33,0))),""),""))</f>
        <v/>
      </c>
      <c r="G734" s="20">
        <f>IF(OR($B734="",$D734=""),"",IFERROR(IF(AND(INDEX('Intervals'!$G$4:$G$33,MATCH($B734,'Intervals'!$A$4:$A$33,0))&lt;&gt;"No",N(INDEX('Intervals'!$D$4:$D$33,MATCH($B734,'Intervals'!$A$4:$A$33,0)))&gt;0),EDATE($D734,N(INDEX('Intervals'!$D$4:$D$33,MATCH($B734,'Intervals'!$A$4:$A$33,0)))),""),""))</f>
        <v/>
      </c>
      <c r="H734" s="19">
        <f>IF($A734="","",IFERROR(IF(N(INDEX('Cars'!$H$4:$H$103,MATCH($A734,'Cars'!$A$4:$A$103,0)))&gt;0,INDEX('Cars'!$H$4:$H$103,MATCH($A734,'Cars'!$A$4:$A$103,0)),""),""))</f>
        <v/>
      </c>
      <c r="I734" s="19">
        <f>IF(OR($F734="",$H734=""),"",$F734-$H734)</f>
        <v/>
      </c>
      <c r="J734" s="21">
        <f>IF($G734="","",$G734-TODAY())</f>
        <v/>
      </c>
      <c r="K734" s="21">
        <f>IF($I734="","",IFERROR(IF(N(INDEX('Cars'!$J$4:$J$103,MATCH($A734,'Cars'!$A$4:$A$103,0)))&gt;0,ROUND($I734/INDEX('Cars'!$J$4:$J$103,MATCH($A734,'Cars'!$A$4:$A$103,0))*30,0),""),""))</f>
        <v/>
      </c>
      <c r="L734" s="21">
        <f>IF(AND($J734="",$K734=""),"",MIN(IF($J734="",99999,$J734),IF($K734="",99999,$K734)))</f>
        <v/>
      </c>
      <c r="M734" s="16">
        <f>IF(AND($I734="",$J734=""),"",IF(OR(AND($I734&lt;&gt;"",N($I734)&lt;0),AND($J734&lt;&gt;"",N($J734)&lt;0)),"Overdue",IF(OR(AND($I734&lt;&gt;"",N($I734)&lt;=IFERROR(INDEX('Intervals'!$E$4:$E$33,MATCH($B734,'Intervals'!$A$4:$A$33,0)),500)),AND($J734&lt;&gt;"",N($J734)&lt;=IFERROR(INDEX('Intervals'!$F$4:$F$33,MATCH($B734,'Intervals'!$A$4:$A$33,0)),14))),"Due soon","OK")))</f>
        <v/>
      </c>
      <c r="N734" s="15" t="n"/>
      <c r="O734" s="22">
        <f>IF(OR($M734="",$M734="OK"),"",$L734+ROW()/100000)</f>
        <v/>
      </c>
    </row>
    <row r="735">
      <c r="A735" s="15" t="n"/>
      <c r="B735" s="15" t="n"/>
      <c r="C735" s="16">
        <f>IF($B735="","",IFERROR(INDEX('Intervals'!$B$4:$B$33,MATCH($B735,'Intervals'!$A$4:$A$33,0)),""))</f>
        <v/>
      </c>
      <c r="D735" s="17" t="n"/>
      <c r="E735" s="18" t="n"/>
      <c r="F735" s="19">
        <f>IF(OR($B735="",$E735=""),"",IFERROR(IF(AND(INDEX('Intervals'!$G$4:$G$33,MATCH($B735,'Intervals'!$A$4:$A$33,0))&lt;&gt;"No",N(INDEX('Intervals'!$C$4:$C$33,MATCH($B735,'Intervals'!$A$4:$A$33,0)))&gt;0),$E735+N(INDEX('Intervals'!$C$4:$C$33,MATCH($B735,'Intervals'!$A$4:$A$33,0))),""),""))</f>
        <v/>
      </c>
      <c r="G735" s="20">
        <f>IF(OR($B735="",$D735=""),"",IFERROR(IF(AND(INDEX('Intervals'!$G$4:$G$33,MATCH($B735,'Intervals'!$A$4:$A$33,0))&lt;&gt;"No",N(INDEX('Intervals'!$D$4:$D$33,MATCH($B735,'Intervals'!$A$4:$A$33,0)))&gt;0),EDATE($D735,N(INDEX('Intervals'!$D$4:$D$33,MATCH($B735,'Intervals'!$A$4:$A$33,0)))),""),""))</f>
        <v/>
      </c>
      <c r="H735" s="19">
        <f>IF($A735="","",IFERROR(IF(N(INDEX('Cars'!$H$4:$H$103,MATCH($A735,'Cars'!$A$4:$A$103,0)))&gt;0,INDEX('Cars'!$H$4:$H$103,MATCH($A735,'Cars'!$A$4:$A$103,0)),""),""))</f>
        <v/>
      </c>
      <c r="I735" s="19">
        <f>IF(OR($F735="",$H735=""),"",$F735-$H735)</f>
        <v/>
      </c>
      <c r="J735" s="21">
        <f>IF($G735="","",$G735-TODAY())</f>
        <v/>
      </c>
      <c r="K735" s="21">
        <f>IF($I735="","",IFERROR(IF(N(INDEX('Cars'!$J$4:$J$103,MATCH($A735,'Cars'!$A$4:$A$103,0)))&gt;0,ROUND($I735/INDEX('Cars'!$J$4:$J$103,MATCH($A735,'Cars'!$A$4:$A$103,0))*30,0),""),""))</f>
        <v/>
      </c>
      <c r="L735" s="21">
        <f>IF(AND($J735="",$K735=""),"",MIN(IF($J735="",99999,$J735),IF($K735="",99999,$K735)))</f>
        <v/>
      </c>
      <c r="M735" s="16">
        <f>IF(AND($I735="",$J735=""),"",IF(OR(AND($I735&lt;&gt;"",N($I735)&lt;0),AND($J735&lt;&gt;"",N($J735)&lt;0)),"Overdue",IF(OR(AND($I735&lt;&gt;"",N($I735)&lt;=IFERROR(INDEX('Intervals'!$E$4:$E$33,MATCH($B735,'Intervals'!$A$4:$A$33,0)),500)),AND($J735&lt;&gt;"",N($J735)&lt;=IFERROR(INDEX('Intervals'!$F$4:$F$33,MATCH($B735,'Intervals'!$A$4:$A$33,0)),14))),"Due soon","OK")))</f>
        <v/>
      </c>
      <c r="N735" s="15" t="n"/>
      <c r="O735" s="22">
        <f>IF(OR($M735="",$M735="OK"),"",$L735+ROW()/100000)</f>
        <v/>
      </c>
    </row>
    <row r="736">
      <c r="A736" s="15" t="n"/>
      <c r="B736" s="15" t="n"/>
      <c r="C736" s="16">
        <f>IF($B736="","",IFERROR(INDEX('Intervals'!$B$4:$B$33,MATCH($B736,'Intervals'!$A$4:$A$33,0)),""))</f>
        <v/>
      </c>
      <c r="D736" s="17" t="n"/>
      <c r="E736" s="18" t="n"/>
      <c r="F736" s="19">
        <f>IF(OR($B736="",$E736=""),"",IFERROR(IF(AND(INDEX('Intervals'!$G$4:$G$33,MATCH($B736,'Intervals'!$A$4:$A$33,0))&lt;&gt;"No",N(INDEX('Intervals'!$C$4:$C$33,MATCH($B736,'Intervals'!$A$4:$A$33,0)))&gt;0),$E736+N(INDEX('Intervals'!$C$4:$C$33,MATCH($B736,'Intervals'!$A$4:$A$33,0))),""),""))</f>
        <v/>
      </c>
      <c r="G736" s="20">
        <f>IF(OR($B736="",$D736=""),"",IFERROR(IF(AND(INDEX('Intervals'!$G$4:$G$33,MATCH($B736,'Intervals'!$A$4:$A$33,0))&lt;&gt;"No",N(INDEX('Intervals'!$D$4:$D$33,MATCH($B736,'Intervals'!$A$4:$A$33,0)))&gt;0),EDATE($D736,N(INDEX('Intervals'!$D$4:$D$33,MATCH($B736,'Intervals'!$A$4:$A$33,0)))),""),""))</f>
        <v/>
      </c>
      <c r="H736" s="19">
        <f>IF($A736="","",IFERROR(IF(N(INDEX('Cars'!$H$4:$H$103,MATCH($A736,'Cars'!$A$4:$A$103,0)))&gt;0,INDEX('Cars'!$H$4:$H$103,MATCH($A736,'Cars'!$A$4:$A$103,0)),""),""))</f>
        <v/>
      </c>
      <c r="I736" s="19">
        <f>IF(OR($F736="",$H736=""),"",$F736-$H736)</f>
        <v/>
      </c>
      <c r="J736" s="21">
        <f>IF($G736="","",$G736-TODAY())</f>
        <v/>
      </c>
      <c r="K736" s="21">
        <f>IF($I736="","",IFERROR(IF(N(INDEX('Cars'!$J$4:$J$103,MATCH($A736,'Cars'!$A$4:$A$103,0)))&gt;0,ROUND($I736/INDEX('Cars'!$J$4:$J$103,MATCH($A736,'Cars'!$A$4:$A$103,0))*30,0),""),""))</f>
        <v/>
      </c>
      <c r="L736" s="21">
        <f>IF(AND($J736="",$K736=""),"",MIN(IF($J736="",99999,$J736),IF($K736="",99999,$K736)))</f>
        <v/>
      </c>
      <c r="M736" s="16">
        <f>IF(AND($I736="",$J736=""),"",IF(OR(AND($I736&lt;&gt;"",N($I736)&lt;0),AND($J736&lt;&gt;"",N($J736)&lt;0)),"Overdue",IF(OR(AND($I736&lt;&gt;"",N($I736)&lt;=IFERROR(INDEX('Intervals'!$E$4:$E$33,MATCH($B736,'Intervals'!$A$4:$A$33,0)),500)),AND($J736&lt;&gt;"",N($J736)&lt;=IFERROR(INDEX('Intervals'!$F$4:$F$33,MATCH($B736,'Intervals'!$A$4:$A$33,0)),14))),"Due soon","OK")))</f>
        <v/>
      </c>
      <c r="N736" s="15" t="n"/>
      <c r="O736" s="22">
        <f>IF(OR($M736="",$M736="OK"),"",$L736+ROW()/100000)</f>
        <v/>
      </c>
    </row>
    <row r="737">
      <c r="A737" s="15" t="n"/>
      <c r="B737" s="15" t="n"/>
      <c r="C737" s="16">
        <f>IF($B737="","",IFERROR(INDEX('Intervals'!$B$4:$B$33,MATCH($B737,'Intervals'!$A$4:$A$33,0)),""))</f>
        <v/>
      </c>
      <c r="D737" s="17" t="n"/>
      <c r="E737" s="18" t="n"/>
      <c r="F737" s="19">
        <f>IF(OR($B737="",$E737=""),"",IFERROR(IF(AND(INDEX('Intervals'!$G$4:$G$33,MATCH($B737,'Intervals'!$A$4:$A$33,0))&lt;&gt;"No",N(INDEX('Intervals'!$C$4:$C$33,MATCH($B737,'Intervals'!$A$4:$A$33,0)))&gt;0),$E737+N(INDEX('Intervals'!$C$4:$C$33,MATCH($B737,'Intervals'!$A$4:$A$33,0))),""),""))</f>
        <v/>
      </c>
      <c r="G737" s="20">
        <f>IF(OR($B737="",$D737=""),"",IFERROR(IF(AND(INDEX('Intervals'!$G$4:$G$33,MATCH($B737,'Intervals'!$A$4:$A$33,0))&lt;&gt;"No",N(INDEX('Intervals'!$D$4:$D$33,MATCH($B737,'Intervals'!$A$4:$A$33,0)))&gt;0),EDATE($D737,N(INDEX('Intervals'!$D$4:$D$33,MATCH($B737,'Intervals'!$A$4:$A$33,0)))),""),""))</f>
        <v/>
      </c>
      <c r="H737" s="19">
        <f>IF($A737="","",IFERROR(IF(N(INDEX('Cars'!$H$4:$H$103,MATCH($A737,'Cars'!$A$4:$A$103,0)))&gt;0,INDEX('Cars'!$H$4:$H$103,MATCH($A737,'Cars'!$A$4:$A$103,0)),""),""))</f>
        <v/>
      </c>
      <c r="I737" s="19">
        <f>IF(OR($F737="",$H737=""),"",$F737-$H737)</f>
        <v/>
      </c>
      <c r="J737" s="21">
        <f>IF($G737="","",$G737-TODAY())</f>
        <v/>
      </c>
      <c r="K737" s="21">
        <f>IF($I737="","",IFERROR(IF(N(INDEX('Cars'!$J$4:$J$103,MATCH($A737,'Cars'!$A$4:$A$103,0)))&gt;0,ROUND($I737/INDEX('Cars'!$J$4:$J$103,MATCH($A737,'Cars'!$A$4:$A$103,0))*30,0),""),""))</f>
        <v/>
      </c>
      <c r="L737" s="21">
        <f>IF(AND($J737="",$K737=""),"",MIN(IF($J737="",99999,$J737),IF($K737="",99999,$K737)))</f>
        <v/>
      </c>
      <c r="M737" s="16">
        <f>IF(AND($I737="",$J737=""),"",IF(OR(AND($I737&lt;&gt;"",N($I737)&lt;0),AND($J737&lt;&gt;"",N($J737)&lt;0)),"Overdue",IF(OR(AND($I737&lt;&gt;"",N($I737)&lt;=IFERROR(INDEX('Intervals'!$E$4:$E$33,MATCH($B737,'Intervals'!$A$4:$A$33,0)),500)),AND($J737&lt;&gt;"",N($J737)&lt;=IFERROR(INDEX('Intervals'!$F$4:$F$33,MATCH($B737,'Intervals'!$A$4:$A$33,0)),14))),"Due soon","OK")))</f>
        <v/>
      </c>
      <c r="N737" s="15" t="n"/>
      <c r="O737" s="22">
        <f>IF(OR($M737="",$M737="OK"),"",$L737+ROW()/100000)</f>
        <v/>
      </c>
    </row>
    <row r="738">
      <c r="A738" s="15" t="n"/>
      <c r="B738" s="15" t="n"/>
      <c r="C738" s="16">
        <f>IF($B738="","",IFERROR(INDEX('Intervals'!$B$4:$B$33,MATCH($B738,'Intervals'!$A$4:$A$33,0)),""))</f>
        <v/>
      </c>
      <c r="D738" s="17" t="n"/>
      <c r="E738" s="18" t="n"/>
      <c r="F738" s="19">
        <f>IF(OR($B738="",$E738=""),"",IFERROR(IF(AND(INDEX('Intervals'!$G$4:$G$33,MATCH($B738,'Intervals'!$A$4:$A$33,0))&lt;&gt;"No",N(INDEX('Intervals'!$C$4:$C$33,MATCH($B738,'Intervals'!$A$4:$A$33,0)))&gt;0),$E738+N(INDEX('Intervals'!$C$4:$C$33,MATCH($B738,'Intervals'!$A$4:$A$33,0))),""),""))</f>
        <v/>
      </c>
      <c r="G738" s="20">
        <f>IF(OR($B738="",$D738=""),"",IFERROR(IF(AND(INDEX('Intervals'!$G$4:$G$33,MATCH($B738,'Intervals'!$A$4:$A$33,0))&lt;&gt;"No",N(INDEX('Intervals'!$D$4:$D$33,MATCH($B738,'Intervals'!$A$4:$A$33,0)))&gt;0),EDATE($D738,N(INDEX('Intervals'!$D$4:$D$33,MATCH($B738,'Intervals'!$A$4:$A$33,0)))),""),""))</f>
        <v/>
      </c>
      <c r="H738" s="19">
        <f>IF($A738="","",IFERROR(IF(N(INDEX('Cars'!$H$4:$H$103,MATCH($A738,'Cars'!$A$4:$A$103,0)))&gt;0,INDEX('Cars'!$H$4:$H$103,MATCH($A738,'Cars'!$A$4:$A$103,0)),""),""))</f>
        <v/>
      </c>
      <c r="I738" s="19">
        <f>IF(OR($F738="",$H738=""),"",$F738-$H738)</f>
        <v/>
      </c>
      <c r="J738" s="21">
        <f>IF($G738="","",$G738-TODAY())</f>
        <v/>
      </c>
      <c r="K738" s="21">
        <f>IF($I738="","",IFERROR(IF(N(INDEX('Cars'!$J$4:$J$103,MATCH($A738,'Cars'!$A$4:$A$103,0)))&gt;0,ROUND($I738/INDEX('Cars'!$J$4:$J$103,MATCH($A738,'Cars'!$A$4:$A$103,0))*30,0),""),""))</f>
        <v/>
      </c>
      <c r="L738" s="21">
        <f>IF(AND($J738="",$K738=""),"",MIN(IF($J738="",99999,$J738),IF($K738="",99999,$K738)))</f>
        <v/>
      </c>
      <c r="M738" s="16">
        <f>IF(AND($I738="",$J738=""),"",IF(OR(AND($I738&lt;&gt;"",N($I738)&lt;0),AND($J738&lt;&gt;"",N($J738)&lt;0)),"Overdue",IF(OR(AND($I738&lt;&gt;"",N($I738)&lt;=IFERROR(INDEX('Intervals'!$E$4:$E$33,MATCH($B738,'Intervals'!$A$4:$A$33,0)),500)),AND($J738&lt;&gt;"",N($J738)&lt;=IFERROR(INDEX('Intervals'!$F$4:$F$33,MATCH($B738,'Intervals'!$A$4:$A$33,0)),14))),"Due soon","OK")))</f>
        <v/>
      </c>
      <c r="N738" s="15" t="n"/>
      <c r="O738" s="22">
        <f>IF(OR($M738="",$M738="OK"),"",$L738+ROW()/100000)</f>
        <v/>
      </c>
    </row>
    <row r="739">
      <c r="A739" s="15" t="n"/>
      <c r="B739" s="15" t="n"/>
      <c r="C739" s="16">
        <f>IF($B739="","",IFERROR(INDEX('Intervals'!$B$4:$B$33,MATCH($B739,'Intervals'!$A$4:$A$33,0)),""))</f>
        <v/>
      </c>
      <c r="D739" s="17" t="n"/>
      <c r="E739" s="18" t="n"/>
      <c r="F739" s="19">
        <f>IF(OR($B739="",$E739=""),"",IFERROR(IF(AND(INDEX('Intervals'!$G$4:$G$33,MATCH($B739,'Intervals'!$A$4:$A$33,0))&lt;&gt;"No",N(INDEX('Intervals'!$C$4:$C$33,MATCH($B739,'Intervals'!$A$4:$A$33,0)))&gt;0),$E739+N(INDEX('Intervals'!$C$4:$C$33,MATCH($B739,'Intervals'!$A$4:$A$33,0))),""),""))</f>
        <v/>
      </c>
      <c r="G739" s="20">
        <f>IF(OR($B739="",$D739=""),"",IFERROR(IF(AND(INDEX('Intervals'!$G$4:$G$33,MATCH($B739,'Intervals'!$A$4:$A$33,0))&lt;&gt;"No",N(INDEX('Intervals'!$D$4:$D$33,MATCH($B739,'Intervals'!$A$4:$A$33,0)))&gt;0),EDATE($D739,N(INDEX('Intervals'!$D$4:$D$33,MATCH($B739,'Intervals'!$A$4:$A$33,0)))),""),""))</f>
        <v/>
      </c>
      <c r="H739" s="19">
        <f>IF($A739="","",IFERROR(IF(N(INDEX('Cars'!$H$4:$H$103,MATCH($A739,'Cars'!$A$4:$A$103,0)))&gt;0,INDEX('Cars'!$H$4:$H$103,MATCH($A739,'Cars'!$A$4:$A$103,0)),""),""))</f>
        <v/>
      </c>
      <c r="I739" s="19">
        <f>IF(OR($F739="",$H739=""),"",$F739-$H739)</f>
        <v/>
      </c>
      <c r="J739" s="21">
        <f>IF($G739="","",$G739-TODAY())</f>
        <v/>
      </c>
      <c r="K739" s="21">
        <f>IF($I739="","",IFERROR(IF(N(INDEX('Cars'!$J$4:$J$103,MATCH($A739,'Cars'!$A$4:$A$103,0)))&gt;0,ROUND($I739/INDEX('Cars'!$J$4:$J$103,MATCH($A739,'Cars'!$A$4:$A$103,0))*30,0),""),""))</f>
        <v/>
      </c>
      <c r="L739" s="21">
        <f>IF(AND($J739="",$K739=""),"",MIN(IF($J739="",99999,$J739),IF($K739="",99999,$K739)))</f>
        <v/>
      </c>
      <c r="M739" s="16">
        <f>IF(AND($I739="",$J739=""),"",IF(OR(AND($I739&lt;&gt;"",N($I739)&lt;0),AND($J739&lt;&gt;"",N($J739)&lt;0)),"Overdue",IF(OR(AND($I739&lt;&gt;"",N($I739)&lt;=IFERROR(INDEX('Intervals'!$E$4:$E$33,MATCH($B739,'Intervals'!$A$4:$A$33,0)),500)),AND($J739&lt;&gt;"",N($J739)&lt;=IFERROR(INDEX('Intervals'!$F$4:$F$33,MATCH($B739,'Intervals'!$A$4:$A$33,0)),14))),"Due soon","OK")))</f>
        <v/>
      </c>
      <c r="N739" s="15" t="n"/>
      <c r="O739" s="22">
        <f>IF(OR($M739="",$M739="OK"),"",$L739+ROW()/100000)</f>
        <v/>
      </c>
    </row>
    <row r="740">
      <c r="A740" s="15" t="n"/>
      <c r="B740" s="15" t="n"/>
      <c r="C740" s="16">
        <f>IF($B740="","",IFERROR(INDEX('Intervals'!$B$4:$B$33,MATCH($B740,'Intervals'!$A$4:$A$33,0)),""))</f>
        <v/>
      </c>
      <c r="D740" s="17" t="n"/>
      <c r="E740" s="18" t="n"/>
      <c r="F740" s="19">
        <f>IF(OR($B740="",$E740=""),"",IFERROR(IF(AND(INDEX('Intervals'!$G$4:$G$33,MATCH($B740,'Intervals'!$A$4:$A$33,0))&lt;&gt;"No",N(INDEX('Intervals'!$C$4:$C$33,MATCH($B740,'Intervals'!$A$4:$A$33,0)))&gt;0),$E740+N(INDEX('Intervals'!$C$4:$C$33,MATCH($B740,'Intervals'!$A$4:$A$33,0))),""),""))</f>
        <v/>
      </c>
      <c r="G740" s="20">
        <f>IF(OR($B740="",$D740=""),"",IFERROR(IF(AND(INDEX('Intervals'!$G$4:$G$33,MATCH($B740,'Intervals'!$A$4:$A$33,0))&lt;&gt;"No",N(INDEX('Intervals'!$D$4:$D$33,MATCH($B740,'Intervals'!$A$4:$A$33,0)))&gt;0),EDATE($D740,N(INDEX('Intervals'!$D$4:$D$33,MATCH($B740,'Intervals'!$A$4:$A$33,0)))),""),""))</f>
        <v/>
      </c>
      <c r="H740" s="19">
        <f>IF($A740="","",IFERROR(IF(N(INDEX('Cars'!$H$4:$H$103,MATCH($A740,'Cars'!$A$4:$A$103,0)))&gt;0,INDEX('Cars'!$H$4:$H$103,MATCH($A740,'Cars'!$A$4:$A$103,0)),""),""))</f>
        <v/>
      </c>
      <c r="I740" s="19">
        <f>IF(OR($F740="",$H740=""),"",$F740-$H740)</f>
        <v/>
      </c>
      <c r="J740" s="21">
        <f>IF($G740="","",$G740-TODAY())</f>
        <v/>
      </c>
      <c r="K740" s="21">
        <f>IF($I740="","",IFERROR(IF(N(INDEX('Cars'!$J$4:$J$103,MATCH($A740,'Cars'!$A$4:$A$103,0)))&gt;0,ROUND($I740/INDEX('Cars'!$J$4:$J$103,MATCH($A740,'Cars'!$A$4:$A$103,0))*30,0),""),""))</f>
        <v/>
      </c>
      <c r="L740" s="21">
        <f>IF(AND($J740="",$K740=""),"",MIN(IF($J740="",99999,$J740),IF($K740="",99999,$K740)))</f>
        <v/>
      </c>
      <c r="M740" s="16">
        <f>IF(AND($I740="",$J740=""),"",IF(OR(AND($I740&lt;&gt;"",N($I740)&lt;0),AND($J740&lt;&gt;"",N($J740)&lt;0)),"Overdue",IF(OR(AND($I740&lt;&gt;"",N($I740)&lt;=IFERROR(INDEX('Intervals'!$E$4:$E$33,MATCH($B740,'Intervals'!$A$4:$A$33,0)),500)),AND($J740&lt;&gt;"",N($J740)&lt;=IFERROR(INDEX('Intervals'!$F$4:$F$33,MATCH($B740,'Intervals'!$A$4:$A$33,0)),14))),"Due soon","OK")))</f>
        <v/>
      </c>
      <c r="N740" s="15" t="n"/>
      <c r="O740" s="22">
        <f>IF(OR($M740="",$M740="OK"),"",$L740+ROW()/100000)</f>
        <v/>
      </c>
    </row>
    <row r="741">
      <c r="A741" s="15" t="n"/>
      <c r="B741" s="15" t="n"/>
      <c r="C741" s="16">
        <f>IF($B741="","",IFERROR(INDEX('Intervals'!$B$4:$B$33,MATCH($B741,'Intervals'!$A$4:$A$33,0)),""))</f>
        <v/>
      </c>
      <c r="D741" s="17" t="n"/>
      <c r="E741" s="18" t="n"/>
      <c r="F741" s="19">
        <f>IF(OR($B741="",$E741=""),"",IFERROR(IF(AND(INDEX('Intervals'!$G$4:$G$33,MATCH($B741,'Intervals'!$A$4:$A$33,0))&lt;&gt;"No",N(INDEX('Intervals'!$C$4:$C$33,MATCH($B741,'Intervals'!$A$4:$A$33,0)))&gt;0),$E741+N(INDEX('Intervals'!$C$4:$C$33,MATCH($B741,'Intervals'!$A$4:$A$33,0))),""),""))</f>
        <v/>
      </c>
      <c r="G741" s="20">
        <f>IF(OR($B741="",$D741=""),"",IFERROR(IF(AND(INDEX('Intervals'!$G$4:$G$33,MATCH($B741,'Intervals'!$A$4:$A$33,0))&lt;&gt;"No",N(INDEX('Intervals'!$D$4:$D$33,MATCH($B741,'Intervals'!$A$4:$A$33,0)))&gt;0),EDATE($D741,N(INDEX('Intervals'!$D$4:$D$33,MATCH($B741,'Intervals'!$A$4:$A$33,0)))),""),""))</f>
        <v/>
      </c>
      <c r="H741" s="19">
        <f>IF($A741="","",IFERROR(IF(N(INDEX('Cars'!$H$4:$H$103,MATCH($A741,'Cars'!$A$4:$A$103,0)))&gt;0,INDEX('Cars'!$H$4:$H$103,MATCH($A741,'Cars'!$A$4:$A$103,0)),""),""))</f>
        <v/>
      </c>
      <c r="I741" s="19">
        <f>IF(OR($F741="",$H741=""),"",$F741-$H741)</f>
        <v/>
      </c>
      <c r="J741" s="21">
        <f>IF($G741="","",$G741-TODAY())</f>
        <v/>
      </c>
      <c r="K741" s="21">
        <f>IF($I741="","",IFERROR(IF(N(INDEX('Cars'!$J$4:$J$103,MATCH($A741,'Cars'!$A$4:$A$103,0)))&gt;0,ROUND($I741/INDEX('Cars'!$J$4:$J$103,MATCH($A741,'Cars'!$A$4:$A$103,0))*30,0),""),""))</f>
        <v/>
      </c>
      <c r="L741" s="21">
        <f>IF(AND($J741="",$K741=""),"",MIN(IF($J741="",99999,$J741),IF($K741="",99999,$K741)))</f>
        <v/>
      </c>
      <c r="M741" s="16">
        <f>IF(AND($I741="",$J741=""),"",IF(OR(AND($I741&lt;&gt;"",N($I741)&lt;0),AND($J741&lt;&gt;"",N($J741)&lt;0)),"Overdue",IF(OR(AND($I741&lt;&gt;"",N($I741)&lt;=IFERROR(INDEX('Intervals'!$E$4:$E$33,MATCH($B741,'Intervals'!$A$4:$A$33,0)),500)),AND($J741&lt;&gt;"",N($J741)&lt;=IFERROR(INDEX('Intervals'!$F$4:$F$33,MATCH($B741,'Intervals'!$A$4:$A$33,0)),14))),"Due soon","OK")))</f>
        <v/>
      </c>
      <c r="N741" s="15" t="n"/>
      <c r="O741" s="22">
        <f>IF(OR($M741="",$M741="OK"),"",$L741+ROW()/100000)</f>
        <v/>
      </c>
    </row>
    <row r="742">
      <c r="A742" s="15" t="n"/>
      <c r="B742" s="15" t="n"/>
      <c r="C742" s="16">
        <f>IF($B742="","",IFERROR(INDEX('Intervals'!$B$4:$B$33,MATCH($B742,'Intervals'!$A$4:$A$33,0)),""))</f>
        <v/>
      </c>
      <c r="D742" s="17" t="n"/>
      <c r="E742" s="18" t="n"/>
      <c r="F742" s="19">
        <f>IF(OR($B742="",$E742=""),"",IFERROR(IF(AND(INDEX('Intervals'!$G$4:$G$33,MATCH($B742,'Intervals'!$A$4:$A$33,0))&lt;&gt;"No",N(INDEX('Intervals'!$C$4:$C$33,MATCH($B742,'Intervals'!$A$4:$A$33,0)))&gt;0),$E742+N(INDEX('Intervals'!$C$4:$C$33,MATCH($B742,'Intervals'!$A$4:$A$33,0))),""),""))</f>
        <v/>
      </c>
      <c r="G742" s="20">
        <f>IF(OR($B742="",$D742=""),"",IFERROR(IF(AND(INDEX('Intervals'!$G$4:$G$33,MATCH($B742,'Intervals'!$A$4:$A$33,0))&lt;&gt;"No",N(INDEX('Intervals'!$D$4:$D$33,MATCH($B742,'Intervals'!$A$4:$A$33,0)))&gt;0),EDATE($D742,N(INDEX('Intervals'!$D$4:$D$33,MATCH($B742,'Intervals'!$A$4:$A$33,0)))),""),""))</f>
        <v/>
      </c>
      <c r="H742" s="19">
        <f>IF($A742="","",IFERROR(IF(N(INDEX('Cars'!$H$4:$H$103,MATCH($A742,'Cars'!$A$4:$A$103,0)))&gt;0,INDEX('Cars'!$H$4:$H$103,MATCH($A742,'Cars'!$A$4:$A$103,0)),""),""))</f>
        <v/>
      </c>
      <c r="I742" s="19">
        <f>IF(OR($F742="",$H742=""),"",$F742-$H742)</f>
        <v/>
      </c>
      <c r="J742" s="21">
        <f>IF($G742="","",$G742-TODAY())</f>
        <v/>
      </c>
      <c r="K742" s="21">
        <f>IF($I742="","",IFERROR(IF(N(INDEX('Cars'!$J$4:$J$103,MATCH($A742,'Cars'!$A$4:$A$103,0)))&gt;0,ROUND($I742/INDEX('Cars'!$J$4:$J$103,MATCH($A742,'Cars'!$A$4:$A$103,0))*30,0),""),""))</f>
        <v/>
      </c>
      <c r="L742" s="21">
        <f>IF(AND($J742="",$K742=""),"",MIN(IF($J742="",99999,$J742),IF($K742="",99999,$K742)))</f>
        <v/>
      </c>
      <c r="M742" s="16">
        <f>IF(AND($I742="",$J742=""),"",IF(OR(AND($I742&lt;&gt;"",N($I742)&lt;0),AND($J742&lt;&gt;"",N($J742)&lt;0)),"Overdue",IF(OR(AND($I742&lt;&gt;"",N($I742)&lt;=IFERROR(INDEX('Intervals'!$E$4:$E$33,MATCH($B742,'Intervals'!$A$4:$A$33,0)),500)),AND($J742&lt;&gt;"",N($J742)&lt;=IFERROR(INDEX('Intervals'!$F$4:$F$33,MATCH($B742,'Intervals'!$A$4:$A$33,0)),14))),"Due soon","OK")))</f>
        <v/>
      </c>
      <c r="N742" s="15" t="n"/>
      <c r="O742" s="22">
        <f>IF(OR($M742="",$M742="OK"),"",$L742+ROW()/100000)</f>
        <v/>
      </c>
    </row>
    <row r="743">
      <c r="A743" s="15" t="n"/>
      <c r="B743" s="15" t="n"/>
      <c r="C743" s="16">
        <f>IF($B743="","",IFERROR(INDEX('Intervals'!$B$4:$B$33,MATCH($B743,'Intervals'!$A$4:$A$33,0)),""))</f>
        <v/>
      </c>
      <c r="D743" s="17" t="n"/>
      <c r="E743" s="18" t="n"/>
      <c r="F743" s="19">
        <f>IF(OR($B743="",$E743=""),"",IFERROR(IF(AND(INDEX('Intervals'!$G$4:$G$33,MATCH($B743,'Intervals'!$A$4:$A$33,0))&lt;&gt;"No",N(INDEX('Intervals'!$C$4:$C$33,MATCH($B743,'Intervals'!$A$4:$A$33,0)))&gt;0),$E743+N(INDEX('Intervals'!$C$4:$C$33,MATCH($B743,'Intervals'!$A$4:$A$33,0))),""),""))</f>
        <v/>
      </c>
      <c r="G743" s="20">
        <f>IF(OR($B743="",$D743=""),"",IFERROR(IF(AND(INDEX('Intervals'!$G$4:$G$33,MATCH($B743,'Intervals'!$A$4:$A$33,0))&lt;&gt;"No",N(INDEX('Intervals'!$D$4:$D$33,MATCH($B743,'Intervals'!$A$4:$A$33,0)))&gt;0),EDATE($D743,N(INDEX('Intervals'!$D$4:$D$33,MATCH($B743,'Intervals'!$A$4:$A$33,0)))),""),""))</f>
        <v/>
      </c>
      <c r="H743" s="19">
        <f>IF($A743="","",IFERROR(IF(N(INDEX('Cars'!$H$4:$H$103,MATCH($A743,'Cars'!$A$4:$A$103,0)))&gt;0,INDEX('Cars'!$H$4:$H$103,MATCH($A743,'Cars'!$A$4:$A$103,0)),""),""))</f>
        <v/>
      </c>
      <c r="I743" s="19">
        <f>IF(OR($F743="",$H743=""),"",$F743-$H743)</f>
        <v/>
      </c>
      <c r="J743" s="21">
        <f>IF($G743="","",$G743-TODAY())</f>
        <v/>
      </c>
      <c r="K743" s="21">
        <f>IF($I743="","",IFERROR(IF(N(INDEX('Cars'!$J$4:$J$103,MATCH($A743,'Cars'!$A$4:$A$103,0)))&gt;0,ROUND($I743/INDEX('Cars'!$J$4:$J$103,MATCH($A743,'Cars'!$A$4:$A$103,0))*30,0),""),""))</f>
        <v/>
      </c>
      <c r="L743" s="21">
        <f>IF(AND($J743="",$K743=""),"",MIN(IF($J743="",99999,$J743),IF($K743="",99999,$K743)))</f>
        <v/>
      </c>
      <c r="M743" s="16">
        <f>IF(AND($I743="",$J743=""),"",IF(OR(AND($I743&lt;&gt;"",N($I743)&lt;0),AND($J743&lt;&gt;"",N($J743)&lt;0)),"Overdue",IF(OR(AND($I743&lt;&gt;"",N($I743)&lt;=IFERROR(INDEX('Intervals'!$E$4:$E$33,MATCH($B743,'Intervals'!$A$4:$A$33,0)),500)),AND($J743&lt;&gt;"",N($J743)&lt;=IFERROR(INDEX('Intervals'!$F$4:$F$33,MATCH($B743,'Intervals'!$A$4:$A$33,0)),14))),"Due soon","OK")))</f>
        <v/>
      </c>
      <c r="N743" s="15" t="n"/>
      <c r="O743" s="22">
        <f>IF(OR($M743="",$M743="OK"),"",$L743+ROW()/100000)</f>
        <v/>
      </c>
    </row>
    <row r="744">
      <c r="A744" s="15" t="n"/>
      <c r="B744" s="15" t="n"/>
      <c r="C744" s="16">
        <f>IF($B744="","",IFERROR(INDEX('Intervals'!$B$4:$B$33,MATCH($B744,'Intervals'!$A$4:$A$33,0)),""))</f>
        <v/>
      </c>
      <c r="D744" s="17" t="n"/>
      <c r="E744" s="18" t="n"/>
      <c r="F744" s="19">
        <f>IF(OR($B744="",$E744=""),"",IFERROR(IF(AND(INDEX('Intervals'!$G$4:$G$33,MATCH($B744,'Intervals'!$A$4:$A$33,0))&lt;&gt;"No",N(INDEX('Intervals'!$C$4:$C$33,MATCH($B744,'Intervals'!$A$4:$A$33,0)))&gt;0),$E744+N(INDEX('Intervals'!$C$4:$C$33,MATCH($B744,'Intervals'!$A$4:$A$33,0))),""),""))</f>
        <v/>
      </c>
      <c r="G744" s="20">
        <f>IF(OR($B744="",$D744=""),"",IFERROR(IF(AND(INDEX('Intervals'!$G$4:$G$33,MATCH($B744,'Intervals'!$A$4:$A$33,0))&lt;&gt;"No",N(INDEX('Intervals'!$D$4:$D$33,MATCH($B744,'Intervals'!$A$4:$A$33,0)))&gt;0),EDATE($D744,N(INDEX('Intervals'!$D$4:$D$33,MATCH($B744,'Intervals'!$A$4:$A$33,0)))),""),""))</f>
        <v/>
      </c>
      <c r="H744" s="19">
        <f>IF($A744="","",IFERROR(IF(N(INDEX('Cars'!$H$4:$H$103,MATCH($A744,'Cars'!$A$4:$A$103,0)))&gt;0,INDEX('Cars'!$H$4:$H$103,MATCH($A744,'Cars'!$A$4:$A$103,0)),""),""))</f>
        <v/>
      </c>
      <c r="I744" s="19">
        <f>IF(OR($F744="",$H744=""),"",$F744-$H744)</f>
        <v/>
      </c>
      <c r="J744" s="21">
        <f>IF($G744="","",$G744-TODAY())</f>
        <v/>
      </c>
      <c r="K744" s="21">
        <f>IF($I744="","",IFERROR(IF(N(INDEX('Cars'!$J$4:$J$103,MATCH($A744,'Cars'!$A$4:$A$103,0)))&gt;0,ROUND($I744/INDEX('Cars'!$J$4:$J$103,MATCH($A744,'Cars'!$A$4:$A$103,0))*30,0),""),""))</f>
        <v/>
      </c>
      <c r="L744" s="21">
        <f>IF(AND($J744="",$K744=""),"",MIN(IF($J744="",99999,$J744),IF($K744="",99999,$K744)))</f>
        <v/>
      </c>
      <c r="M744" s="16">
        <f>IF(AND($I744="",$J744=""),"",IF(OR(AND($I744&lt;&gt;"",N($I744)&lt;0),AND($J744&lt;&gt;"",N($J744)&lt;0)),"Overdue",IF(OR(AND($I744&lt;&gt;"",N($I744)&lt;=IFERROR(INDEX('Intervals'!$E$4:$E$33,MATCH($B744,'Intervals'!$A$4:$A$33,0)),500)),AND($J744&lt;&gt;"",N($J744)&lt;=IFERROR(INDEX('Intervals'!$F$4:$F$33,MATCH($B744,'Intervals'!$A$4:$A$33,0)),14))),"Due soon","OK")))</f>
        <v/>
      </c>
      <c r="N744" s="15" t="n"/>
      <c r="O744" s="22">
        <f>IF(OR($M744="",$M744="OK"),"",$L744+ROW()/100000)</f>
        <v/>
      </c>
    </row>
    <row r="745">
      <c r="A745" s="15" t="n"/>
      <c r="B745" s="15" t="n"/>
      <c r="C745" s="16">
        <f>IF($B745="","",IFERROR(INDEX('Intervals'!$B$4:$B$33,MATCH($B745,'Intervals'!$A$4:$A$33,0)),""))</f>
        <v/>
      </c>
      <c r="D745" s="17" t="n"/>
      <c r="E745" s="18" t="n"/>
      <c r="F745" s="19">
        <f>IF(OR($B745="",$E745=""),"",IFERROR(IF(AND(INDEX('Intervals'!$G$4:$G$33,MATCH($B745,'Intervals'!$A$4:$A$33,0))&lt;&gt;"No",N(INDEX('Intervals'!$C$4:$C$33,MATCH($B745,'Intervals'!$A$4:$A$33,0)))&gt;0),$E745+N(INDEX('Intervals'!$C$4:$C$33,MATCH($B745,'Intervals'!$A$4:$A$33,0))),""),""))</f>
        <v/>
      </c>
      <c r="G745" s="20">
        <f>IF(OR($B745="",$D745=""),"",IFERROR(IF(AND(INDEX('Intervals'!$G$4:$G$33,MATCH($B745,'Intervals'!$A$4:$A$33,0))&lt;&gt;"No",N(INDEX('Intervals'!$D$4:$D$33,MATCH($B745,'Intervals'!$A$4:$A$33,0)))&gt;0),EDATE($D745,N(INDEX('Intervals'!$D$4:$D$33,MATCH($B745,'Intervals'!$A$4:$A$33,0)))),""),""))</f>
        <v/>
      </c>
      <c r="H745" s="19">
        <f>IF($A745="","",IFERROR(IF(N(INDEX('Cars'!$H$4:$H$103,MATCH($A745,'Cars'!$A$4:$A$103,0)))&gt;0,INDEX('Cars'!$H$4:$H$103,MATCH($A745,'Cars'!$A$4:$A$103,0)),""),""))</f>
        <v/>
      </c>
      <c r="I745" s="19">
        <f>IF(OR($F745="",$H745=""),"",$F745-$H745)</f>
        <v/>
      </c>
      <c r="J745" s="21">
        <f>IF($G745="","",$G745-TODAY())</f>
        <v/>
      </c>
      <c r="K745" s="21">
        <f>IF($I745="","",IFERROR(IF(N(INDEX('Cars'!$J$4:$J$103,MATCH($A745,'Cars'!$A$4:$A$103,0)))&gt;0,ROUND($I745/INDEX('Cars'!$J$4:$J$103,MATCH($A745,'Cars'!$A$4:$A$103,0))*30,0),""),""))</f>
        <v/>
      </c>
      <c r="L745" s="21">
        <f>IF(AND($J745="",$K745=""),"",MIN(IF($J745="",99999,$J745),IF($K745="",99999,$K745)))</f>
        <v/>
      </c>
      <c r="M745" s="16">
        <f>IF(AND($I745="",$J745=""),"",IF(OR(AND($I745&lt;&gt;"",N($I745)&lt;0),AND($J745&lt;&gt;"",N($J745)&lt;0)),"Overdue",IF(OR(AND($I745&lt;&gt;"",N($I745)&lt;=IFERROR(INDEX('Intervals'!$E$4:$E$33,MATCH($B745,'Intervals'!$A$4:$A$33,0)),500)),AND($J745&lt;&gt;"",N($J745)&lt;=IFERROR(INDEX('Intervals'!$F$4:$F$33,MATCH($B745,'Intervals'!$A$4:$A$33,0)),14))),"Due soon","OK")))</f>
        <v/>
      </c>
      <c r="N745" s="15" t="n"/>
      <c r="O745" s="22">
        <f>IF(OR($M745="",$M745="OK"),"",$L745+ROW()/100000)</f>
        <v/>
      </c>
    </row>
    <row r="746">
      <c r="A746" s="15" t="n"/>
      <c r="B746" s="15" t="n"/>
      <c r="C746" s="16">
        <f>IF($B746="","",IFERROR(INDEX('Intervals'!$B$4:$B$33,MATCH($B746,'Intervals'!$A$4:$A$33,0)),""))</f>
        <v/>
      </c>
      <c r="D746" s="17" t="n"/>
      <c r="E746" s="18" t="n"/>
      <c r="F746" s="19">
        <f>IF(OR($B746="",$E746=""),"",IFERROR(IF(AND(INDEX('Intervals'!$G$4:$G$33,MATCH($B746,'Intervals'!$A$4:$A$33,0))&lt;&gt;"No",N(INDEX('Intervals'!$C$4:$C$33,MATCH($B746,'Intervals'!$A$4:$A$33,0)))&gt;0),$E746+N(INDEX('Intervals'!$C$4:$C$33,MATCH($B746,'Intervals'!$A$4:$A$33,0))),""),""))</f>
        <v/>
      </c>
      <c r="G746" s="20">
        <f>IF(OR($B746="",$D746=""),"",IFERROR(IF(AND(INDEX('Intervals'!$G$4:$G$33,MATCH($B746,'Intervals'!$A$4:$A$33,0))&lt;&gt;"No",N(INDEX('Intervals'!$D$4:$D$33,MATCH($B746,'Intervals'!$A$4:$A$33,0)))&gt;0),EDATE($D746,N(INDEX('Intervals'!$D$4:$D$33,MATCH($B746,'Intervals'!$A$4:$A$33,0)))),""),""))</f>
        <v/>
      </c>
      <c r="H746" s="19">
        <f>IF($A746="","",IFERROR(IF(N(INDEX('Cars'!$H$4:$H$103,MATCH($A746,'Cars'!$A$4:$A$103,0)))&gt;0,INDEX('Cars'!$H$4:$H$103,MATCH($A746,'Cars'!$A$4:$A$103,0)),""),""))</f>
        <v/>
      </c>
      <c r="I746" s="19">
        <f>IF(OR($F746="",$H746=""),"",$F746-$H746)</f>
        <v/>
      </c>
      <c r="J746" s="21">
        <f>IF($G746="","",$G746-TODAY())</f>
        <v/>
      </c>
      <c r="K746" s="21">
        <f>IF($I746="","",IFERROR(IF(N(INDEX('Cars'!$J$4:$J$103,MATCH($A746,'Cars'!$A$4:$A$103,0)))&gt;0,ROUND($I746/INDEX('Cars'!$J$4:$J$103,MATCH($A746,'Cars'!$A$4:$A$103,0))*30,0),""),""))</f>
        <v/>
      </c>
      <c r="L746" s="21">
        <f>IF(AND($J746="",$K746=""),"",MIN(IF($J746="",99999,$J746),IF($K746="",99999,$K746)))</f>
        <v/>
      </c>
      <c r="M746" s="16">
        <f>IF(AND($I746="",$J746=""),"",IF(OR(AND($I746&lt;&gt;"",N($I746)&lt;0),AND($J746&lt;&gt;"",N($J746)&lt;0)),"Overdue",IF(OR(AND($I746&lt;&gt;"",N($I746)&lt;=IFERROR(INDEX('Intervals'!$E$4:$E$33,MATCH($B746,'Intervals'!$A$4:$A$33,0)),500)),AND($J746&lt;&gt;"",N($J746)&lt;=IFERROR(INDEX('Intervals'!$F$4:$F$33,MATCH($B746,'Intervals'!$A$4:$A$33,0)),14))),"Due soon","OK")))</f>
        <v/>
      </c>
      <c r="N746" s="15" t="n"/>
      <c r="O746" s="22">
        <f>IF(OR($M746="",$M746="OK"),"",$L746+ROW()/100000)</f>
        <v/>
      </c>
    </row>
    <row r="747">
      <c r="A747" s="15" t="n"/>
      <c r="B747" s="15" t="n"/>
      <c r="C747" s="16">
        <f>IF($B747="","",IFERROR(INDEX('Intervals'!$B$4:$B$33,MATCH($B747,'Intervals'!$A$4:$A$33,0)),""))</f>
        <v/>
      </c>
      <c r="D747" s="17" t="n"/>
      <c r="E747" s="18" t="n"/>
      <c r="F747" s="19">
        <f>IF(OR($B747="",$E747=""),"",IFERROR(IF(AND(INDEX('Intervals'!$G$4:$G$33,MATCH($B747,'Intervals'!$A$4:$A$33,0))&lt;&gt;"No",N(INDEX('Intervals'!$C$4:$C$33,MATCH($B747,'Intervals'!$A$4:$A$33,0)))&gt;0),$E747+N(INDEX('Intervals'!$C$4:$C$33,MATCH($B747,'Intervals'!$A$4:$A$33,0))),""),""))</f>
        <v/>
      </c>
      <c r="G747" s="20">
        <f>IF(OR($B747="",$D747=""),"",IFERROR(IF(AND(INDEX('Intervals'!$G$4:$G$33,MATCH($B747,'Intervals'!$A$4:$A$33,0))&lt;&gt;"No",N(INDEX('Intervals'!$D$4:$D$33,MATCH($B747,'Intervals'!$A$4:$A$33,0)))&gt;0),EDATE($D747,N(INDEX('Intervals'!$D$4:$D$33,MATCH($B747,'Intervals'!$A$4:$A$33,0)))),""),""))</f>
        <v/>
      </c>
      <c r="H747" s="19">
        <f>IF($A747="","",IFERROR(IF(N(INDEX('Cars'!$H$4:$H$103,MATCH($A747,'Cars'!$A$4:$A$103,0)))&gt;0,INDEX('Cars'!$H$4:$H$103,MATCH($A747,'Cars'!$A$4:$A$103,0)),""),""))</f>
        <v/>
      </c>
      <c r="I747" s="19">
        <f>IF(OR($F747="",$H747=""),"",$F747-$H747)</f>
        <v/>
      </c>
      <c r="J747" s="21">
        <f>IF($G747="","",$G747-TODAY())</f>
        <v/>
      </c>
      <c r="K747" s="21">
        <f>IF($I747="","",IFERROR(IF(N(INDEX('Cars'!$J$4:$J$103,MATCH($A747,'Cars'!$A$4:$A$103,0)))&gt;0,ROUND($I747/INDEX('Cars'!$J$4:$J$103,MATCH($A747,'Cars'!$A$4:$A$103,0))*30,0),""),""))</f>
        <v/>
      </c>
      <c r="L747" s="21">
        <f>IF(AND($J747="",$K747=""),"",MIN(IF($J747="",99999,$J747),IF($K747="",99999,$K747)))</f>
        <v/>
      </c>
      <c r="M747" s="16">
        <f>IF(AND($I747="",$J747=""),"",IF(OR(AND($I747&lt;&gt;"",N($I747)&lt;0),AND($J747&lt;&gt;"",N($J747)&lt;0)),"Overdue",IF(OR(AND($I747&lt;&gt;"",N($I747)&lt;=IFERROR(INDEX('Intervals'!$E$4:$E$33,MATCH($B747,'Intervals'!$A$4:$A$33,0)),500)),AND($J747&lt;&gt;"",N($J747)&lt;=IFERROR(INDEX('Intervals'!$F$4:$F$33,MATCH($B747,'Intervals'!$A$4:$A$33,0)),14))),"Due soon","OK")))</f>
        <v/>
      </c>
      <c r="N747" s="15" t="n"/>
      <c r="O747" s="22">
        <f>IF(OR($M747="",$M747="OK"),"",$L747+ROW()/100000)</f>
        <v/>
      </c>
    </row>
    <row r="748">
      <c r="A748" s="15" t="n"/>
      <c r="B748" s="15" t="n"/>
      <c r="C748" s="16">
        <f>IF($B748="","",IFERROR(INDEX('Intervals'!$B$4:$B$33,MATCH($B748,'Intervals'!$A$4:$A$33,0)),""))</f>
        <v/>
      </c>
      <c r="D748" s="17" t="n"/>
      <c r="E748" s="18" t="n"/>
      <c r="F748" s="19">
        <f>IF(OR($B748="",$E748=""),"",IFERROR(IF(AND(INDEX('Intervals'!$G$4:$G$33,MATCH($B748,'Intervals'!$A$4:$A$33,0))&lt;&gt;"No",N(INDEX('Intervals'!$C$4:$C$33,MATCH($B748,'Intervals'!$A$4:$A$33,0)))&gt;0),$E748+N(INDEX('Intervals'!$C$4:$C$33,MATCH($B748,'Intervals'!$A$4:$A$33,0))),""),""))</f>
        <v/>
      </c>
      <c r="G748" s="20">
        <f>IF(OR($B748="",$D748=""),"",IFERROR(IF(AND(INDEX('Intervals'!$G$4:$G$33,MATCH($B748,'Intervals'!$A$4:$A$33,0))&lt;&gt;"No",N(INDEX('Intervals'!$D$4:$D$33,MATCH($B748,'Intervals'!$A$4:$A$33,0)))&gt;0),EDATE($D748,N(INDEX('Intervals'!$D$4:$D$33,MATCH($B748,'Intervals'!$A$4:$A$33,0)))),""),""))</f>
        <v/>
      </c>
      <c r="H748" s="19">
        <f>IF($A748="","",IFERROR(IF(N(INDEX('Cars'!$H$4:$H$103,MATCH($A748,'Cars'!$A$4:$A$103,0)))&gt;0,INDEX('Cars'!$H$4:$H$103,MATCH($A748,'Cars'!$A$4:$A$103,0)),""),""))</f>
        <v/>
      </c>
      <c r="I748" s="19">
        <f>IF(OR($F748="",$H748=""),"",$F748-$H748)</f>
        <v/>
      </c>
      <c r="J748" s="21">
        <f>IF($G748="","",$G748-TODAY())</f>
        <v/>
      </c>
      <c r="K748" s="21">
        <f>IF($I748="","",IFERROR(IF(N(INDEX('Cars'!$J$4:$J$103,MATCH($A748,'Cars'!$A$4:$A$103,0)))&gt;0,ROUND($I748/INDEX('Cars'!$J$4:$J$103,MATCH($A748,'Cars'!$A$4:$A$103,0))*30,0),""),""))</f>
        <v/>
      </c>
      <c r="L748" s="21">
        <f>IF(AND($J748="",$K748=""),"",MIN(IF($J748="",99999,$J748),IF($K748="",99999,$K748)))</f>
        <v/>
      </c>
      <c r="M748" s="16">
        <f>IF(AND($I748="",$J748=""),"",IF(OR(AND($I748&lt;&gt;"",N($I748)&lt;0),AND($J748&lt;&gt;"",N($J748)&lt;0)),"Overdue",IF(OR(AND($I748&lt;&gt;"",N($I748)&lt;=IFERROR(INDEX('Intervals'!$E$4:$E$33,MATCH($B748,'Intervals'!$A$4:$A$33,0)),500)),AND($J748&lt;&gt;"",N($J748)&lt;=IFERROR(INDEX('Intervals'!$F$4:$F$33,MATCH($B748,'Intervals'!$A$4:$A$33,0)),14))),"Due soon","OK")))</f>
        <v/>
      </c>
      <c r="N748" s="15" t="n"/>
      <c r="O748" s="22">
        <f>IF(OR($M748="",$M748="OK"),"",$L748+ROW()/100000)</f>
        <v/>
      </c>
    </row>
    <row r="749">
      <c r="A749" s="15" t="n"/>
      <c r="B749" s="15" t="n"/>
      <c r="C749" s="16">
        <f>IF($B749="","",IFERROR(INDEX('Intervals'!$B$4:$B$33,MATCH($B749,'Intervals'!$A$4:$A$33,0)),""))</f>
        <v/>
      </c>
      <c r="D749" s="17" t="n"/>
      <c r="E749" s="18" t="n"/>
      <c r="F749" s="19">
        <f>IF(OR($B749="",$E749=""),"",IFERROR(IF(AND(INDEX('Intervals'!$G$4:$G$33,MATCH($B749,'Intervals'!$A$4:$A$33,0))&lt;&gt;"No",N(INDEX('Intervals'!$C$4:$C$33,MATCH($B749,'Intervals'!$A$4:$A$33,0)))&gt;0),$E749+N(INDEX('Intervals'!$C$4:$C$33,MATCH($B749,'Intervals'!$A$4:$A$33,0))),""),""))</f>
        <v/>
      </c>
      <c r="G749" s="20">
        <f>IF(OR($B749="",$D749=""),"",IFERROR(IF(AND(INDEX('Intervals'!$G$4:$G$33,MATCH($B749,'Intervals'!$A$4:$A$33,0))&lt;&gt;"No",N(INDEX('Intervals'!$D$4:$D$33,MATCH($B749,'Intervals'!$A$4:$A$33,0)))&gt;0),EDATE($D749,N(INDEX('Intervals'!$D$4:$D$33,MATCH($B749,'Intervals'!$A$4:$A$33,0)))),""),""))</f>
        <v/>
      </c>
      <c r="H749" s="19">
        <f>IF($A749="","",IFERROR(IF(N(INDEX('Cars'!$H$4:$H$103,MATCH($A749,'Cars'!$A$4:$A$103,0)))&gt;0,INDEX('Cars'!$H$4:$H$103,MATCH($A749,'Cars'!$A$4:$A$103,0)),""),""))</f>
        <v/>
      </c>
      <c r="I749" s="19">
        <f>IF(OR($F749="",$H749=""),"",$F749-$H749)</f>
        <v/>
      </c>
      <c r="J749" s="21">
        <f>IF($G749="","",$G749-TODAY())</f>
        <v/>
      </c>
      <c r="K749" s="21">
        <f>IF($I749="","",IFERROR(IF(N(INDEX('Cars'!$J$4:$J$103,MATCH($A749,'Cars'!$A$4:$A$103,0)))&gt;0,ROUND($I749/INDEX('Cars'!$J$4:$J$103,MATCH($A749,'Cars'!$A$4:$A$103,0))*30,0),""),""))</f>
        <v/>
      </c>
      <c r="L749" s="21">
        <f>IF(AND($J749="",$K749=""),"",MIN(IF($J749="",99999,$J749),IF($K749="",99999,$K749)))</f>
        <v/>
      </c>
      <c r="M749" s="16">
        <f>IF(AND($I749="",$J749=""),"",IF(OR(AND($I749&lt;&gt;"",N($I749)&lt;0),AND($J749&lt;&gt;"",N($J749)&lt;0)),"Overdue",IF(OR(AND($I749&lt;&gt;"",N($I749)&lt;=IFERROR(INDEX('Intervals'!$E$4:$E$33,MATCH($B749,'Intervals'!$A$4:$A$33,0)),500)),AND($J749&lt;&gt;"",N($J749)&lt;=IFERROR(INDEX('Intervals'!$F$4:$F$33,MATCH($B749,'Intervals'!$A$4:$A$33,0)),14))),"Due soon","OK")))</f>
        <v/>
      </c>
      <c r="N749" s="15" t="n"/>
      <c r="O749" s="22">
        <f>IF(OR($M749="",$M749="OK"),"",$L749+ROW()/100000)</f>
        <v/>
      </c>
    </row>
    <row r="750">
      <c r="A750" s="15" t="n"/>
      <c r="B750" s="15" t="n"/>
      <c r="C750" s="16">
        <f>IF($B750="","",IFERROR(INDEX('Intervals'!$B$4:$B$33,MATCH($B750,'Intervals'!$A$4:$A$33,0)),""))</f>
        <v/>
      </c>
      <c r="D750" s="17" t="n"/>
      <c r="E750" s="18" t="n"/>
      <c r="F750" s="19">
        <f>IF(OR($B750="",$E750=""),"",IFERROR(IF(AND(INDEX('Intervals'!$G$4:$G$33,MATCH($B750,'Intervals'!$A$4:$A$33,0))&lt;&gt;"No",N(INDEX('Intervals'!$C$4:$C$33,MATCH($B750,'Intervals'!$A$4:$A$33,0)))&gt;0),$E750+N(INDEX('Intervals'!$C$4:$C$33,MATCH($B750,'Intervals'!$A$4:$A$33,0))),""),""))</f>
        <v/>
      </c>
      <c r="G750" s="20">
        <f>IF(OR($B750="",$D750=""),"",IFERROR(IF(AND(INDEX('Intervals'!$G$4:$G$33,MATCH($B750,'Intervals'!$A$4:$A$33,0))&lt;&gt;"No",N(INDEX('Intervals'!$D$4:$D$33,MATCH($B750,'Intervals'!$A$4:$A$33,0)))&gt;0),EDATE($D750,N(INDEX('Intervals'!$D$4:$D$33,MATCH($B750,'Intervals'!$A$4:$A$33,0)))),""),""))</f>
        <v/>
      </c>
      <c r="H750" s="19">
        <f>IF($A750="","",IFERROR(IF(N(INDEX('Cars'!$H$4:$H$103,MATCH($A750,'Cars'!$A$4:$A$103,0)))&gt;0,INDEX('Cars'!$H$4:$H$103,MATCH($A750,'Cars'!$A$4:$A$103,0)),""),""))</f>
        <v/>
      </c>
      <c r="I750" s="19">
        <f>IF(OR($F750="",$H750=""),"",$F750-$H750)</f>
        <v/>
      </c>
      <c r="J750" s="21">
        <f>IF($G750="","",$G750-TODAY())</f>
        <v/>
      </c>
      <c r="K750" s="21">
        <f>IF($I750="","",IFERROR(IF(N(INDEX('Cars'!$J$4:$J$103,MATCH($A750,'Cars'!$A$4:$A$103,0)))&gt;0,ROUND($I750/INDEX('Cars'!$J$4:$J$103,MATCH($A750,'Cars'!$A$4:$A$103,0))*30,0),""),""))</f>
        <v/>
      </c>
      <c r="L750" s="21">
        <f>IF(AND($J750="",$K750=""),"",MIN(IF($J750="",99999,$J750),IF($K750="",99999,$K750)))</f>
        <v/>
      </c>
      <c r="M750" s="16">
        <f>IF(AND($I750="",$J750=""),"",IF(OR(AND($I750&lt;&gt;"",N($I750)&lt;0),AND($J750&lt;&gt;"",N($J750)&lt;0)),"Overdue",IF(OR(AND($I750&lt;&gt;"",N($I750)&lt;=IFERROR(INDEX('Intervals'!$E$4:$E$33,MATCH($B750,'Intervals'!$A$4:$A$33,0)),500)),AND($J750&lt;&gt;"",N($J750)&lt;=IFERROR(INDEX('Intervals'!$F$4:$F$33,MATCH($B750,'Intervals'!$A$4:$A$33,0)),14))),"Due soon","OK")))</f>
        <v/>
      </c>
      <c r="N750" s="15" t="n"/>
      <c r="O750" s="22">
        <f>IF(OR($M750="",$M750="OK"),"",$L750+ROW()/100000)</f>
        <v/>
      </c>
    </row>
    <row r="751">
      <c r="A751" s="15" t="n"/>
      <c r="B751" s="15" t="n"/>
      <c r="C751" s="16">
        <f>IF($B751="","",IFERROR(INDEX('Intervals'!$B$4:$B$33,MATCH($B751,'Intervals'!$A$4:$A$33,0)),""))</f>
        <v/>
      </c>
      <c r="D751" s="17" t="n"/>
      <c r="E751" s="18" t="n"/>
      <c r="F751" s="19">
        <f>IF(OR($B751="",$E751=""),"",IFERROR(IF(AND(INDEX('Intervals'!$G$4:$G$33,MATCH($B751,'Intervals'!$A$4:$A$33,0))&lt;&gt;"No",N(INDEX('Intervals'!$C$4:$C$33,MATCH($B751,'Intervals'!$A$4:$A$33,0)))&gt;0),$E751+N(INDEX('Intervals'!$C$4:$C$33,MATCH($B751,'Intervals'!$A$4:$A$33,0))),""),""))</f>
        <v/>
      </c>
      <c r="G751" s="20">
        <f>IF(OR($B751="",$D751=""),"",IFERROR(IF(AND(INDEX('Intervals'!$G$4:$G$33,MATCH($B751,'Intervals'!$A$4:$A$33,0))&lt;&gt;"No",N(INDEX('Intervals'!$D$4:$D$33,MATCH($B751,'Intervals'!$A$4:$A$33,0)))&gt;0),EDATE($D751,N(INDEX('Intervals'!$D$4:$D$33,MATCH($B751,'Intervals'!$A$4:$A$33,0)))),""),""))</f>
        <v/>
      </c>
      <c r="H751" s="19">
        <f>IF($A751="","",IFERROR(IF(N(INDEX('Cars'!$H$4:$H$103,MATCH($A751,'Cars'!$A$4:$A$103,0)))&gt;0,INDEX('Cars'!$H$4:$H$103,MATCH($A751,'Cars'!$A$4:$A$103,0)),""),""))</f>
        <v/>
      </c>
      <c r="I751" s="19">
        <f>IF(OR($F751="",$H751=""),"",$F751-$H751)</f>
        <v/>
      </c>
      <c r="J751" s="21">
        <f>IF($G751="","",$G751-TODAY())</f>
        <v/>
      </c>
      <c r="K751" s="21">
        <f>IF($I751="","",IFERROR(IF(N(INDEX('Cars'!$J$4:$J$103,MATCH($A751,'Cars'!$A$4:$A$103,0)))&gt;0,ROUND($I751/INDEX('Cars'!$J$4:$J$103,MATCH($A751,'Cars'!$A$4:$A$103,0))*30,0),""),""))</f>
        <v/>
      </c>
      <c r="L751" s="21">
        <f>IF(AND($J751="",$K751=""),"",MIN(IF($J751="",99999,$J751),IF($K751="",99999,$K751)))</f>
        <v/>
      </c>
      <c r="M751" s="16">
        <f>IF(AND($I751="",$J751=""),"",IF(OR(AND($I751&lt;&gt;"",N($I751)&lt;0),AND($J751&lt;&gt;"",N($J751)&lt;0)),"Overdue",IF(OR(AND($I751&lt;&gt;"",N($I751)&lt;=IFERROR(INDEX('Intervals'!$E$4:$E$33,MATCH($B751,'Intervals'!$A$4:$A$33,0)),500)),AND($J751&lt;&gt;"",N($J751)&lt;=IFERROR(INDEX('Intervals'!$F$4:$F$33,MATCH($B751,'Intervals'!$A$4:$A$33,0)),14))),"Due soon","OK")))</f>
        <v/>
      </c>
      <c r="N751" s="15" t="n"/>
      <c r="O751" s="22">
        <f>IF(OR($M751="",$M751="OK"),"",$L751+ROW()/100000)</f>
        <v/>
      </c>
    </row>
    <row r="752">
      <c r="A752" s="15" t="n"/>
      <c r="B752" s="15" t="n"/>
      <c r="C752" s="16">
        <f>IF($B752="","",IFERROR(INDEX('Intervals'!$B$4:$B$33,MATCH($B752,'Intervals'!$A$4:$A$33,0)),""))</f>
        <v/>
      </c>
      <c r="D752" s="17" t="n"/>
      <c r="E752" s="18" t="n"/>
      <c r="F752" s="19">
        <f>IF(OR($B752="",$E752=""),"",IFERROR(IF(AND(INDEX('Intervals'!$G$4:$G$33,MATCH($B752,'Intervals'!$A$4:$A$33,0))&lt;&gt;"No",N(INDEX('Intervals'!$C$4:$C$33,MATCH($B752,'Intervals'!$A$4:$A$33,0)))&gt;0),$E752+N(INDEX('Intervals'!$C$4:$C$33,MATCH($B752,'Intervals'!$A$4:$A$33,0))),""),""))</f>
        <v/>
      </c>
      <c r="G752" s="20">
        <f>IF(OR($B752="",$D752=""),"",IFERROR(IF(AND(INDEX('Intervals'!$G$4:$G$33,MATCH($B752,'Intervals'!$A$4:$A$33,0))&lt;&gt;"No",N(INDEX('Intervals'!$D$4:$D$33,MATCH($B752,'Intervals'!$A$4:$A$33,0)))&gt;0),EDATE($D752,N(INDEX('Intervals'!$D$4:$D$33,MATCH($B752,'Intervals'!$A$4:$A$33,0)))),""),""))</f>
        <v/>
      </c>
      <c r="H752" s="19">
        <f>IF($A752="","",IFERROR(IF(N(INDEX('Cars'!$H$4:$H$103,MATCH($A752,'Cars'!$A$4:$A$103,0)))&gt;0,INDEX('Cars'!$H$4:$H$103,MATCH($A752,'Cars'!$A$4:$A$103,0)),""),""))</f>
        <v/>
      </c>
      <c r="I752" s="19">
        <f>IF(OR($F752="",$H752=""),"",$F752-$H752)</f>
        <v/>
      </c>
      <c r="J752" s="21">
        <f>IF($G752="","",$G752-TODAY())</f>
        <v/>
      </c>
      <c r="K752" s="21">
        <f>IF($I752="","",IFERROR(IF(N(INDEX('Cars'!$J$4:$J$103,MATCH($A752,'Cars'!$A$4:$A$103,0)))&gt;0,ROUND($I752/INDEX('Cars'!$J$4:$J$103,MATCH($A752,'Cars'!$A$4:$A$103,0))*30,0),""),""))</f>
        <v/>
      </c>
      <c r="L752" s="21">
        <f>IF(AND($J752="",$K752=""),"",MIN(IF($J752="",99999,$J752),IF($K752="",99999,$K752)))</f>
        <v/>
      </c>
      <c r="M752" s="16">
        <f>IF(AND($I752="",$J752=""),"",IF(OR(AND($I752&lt;&gt;"",N($I752)&lt;0),AND($J752&lt;&gt;"",N($J752)&lt;0)),"Overdue",IF(OR(AND($I752&lt;&gt;"",N($I752)&lt;=IFERROR(INDEX('Intervals'!$E$4:$E$33,MATCH($B752,'Intervals'!$A$4:$A$33,0)),500)),AND($J752&lt;&gt;"",N($J752)&lt;=IFERROR(INDEX('Intervals'!$F$4:$F$33,MATCH($B752,'Intervals'!$A$4:$A$33,0)),14))),"Due soon","OK")))</f>
        <v/>
      </c>
      <c r="N752" s="15" t="n"/>
      <c r="O752" s="22">
        <f>IF(OR($M752="",$M752="OK"),"",$L752+ROW()/100000)</f>
        <v/>
      </c>
    </row>
    <row r="753">
      <c r="A753" s="15" t="n"/>
      <c r="B753" s="15" t="n"/>
      <c r="C753" s="16">
        <f>IF($B753="","",IFERROR(INDEX('Intervals'!$B$4:$B$33,MATCH($B753,'Intervals'!$A$4:$A$33,0)),""))</f>
        <v/>
      </c>
      <c r="D753" s="17" t="n"/>
      <c r="E753" s="18" t="n"/>
      <c r="F753" s="19">
        <f>IF(OR($B753="",$E753=""),"",IFERROR(IF(AND(INDEX('Intervals'!$G$4:$G$33,MATCH($B753,'Intervals'!$A$4:$A$33,0))&lt;&gt;"No",N(INDEX('Intervals'!$C$4:$C$33,MATCH($B753,'Intervals'!$A$4:$A$33,0)))&gt;0),$E753+N(INDEX('Intervals'!$C$4:$C$33,MATCH($B753,'Intervals'!$A$4:$A$33,0))),""),""))</f>
        <v/>
      </c>
      <c r="G753" s="20">
        <f>IF(OR($B753="",$D753=""),"",IFERROR(IF(AND(INDEX('Intervals'!$G$4:$G$33,MATCH($B753,'Intervals'!$A$4:$A$33,0))&lt;&gt;"No",N(INDEX('Intervals'!$D$4:$D$33,MATCH($B753,'Intervals'!$A$4:$A$33,0)))&gt;0),EDATE($D753,N(INDEX('Intervals'!$D$4:$D$33,MATCH($B753,'Intervals'!$A$4:$A$33,0)))),""),""))</f>
        <v/>
      </c>
      <c r="H753" s="19">
        <f>IF($A753="","",IFERROR(IF(N(INDEX('Cars'!$H$4:$H$103,MATCH($A753,'Cars'!$A$4:$A$103,0)))&gt;0,INDEX('Cars'!$H$4:$H$103,MATCH($A753,'Cars'!$A$4:$A$103,0)),""),""))</f>
        <v/>
      </c>
      <c r="I753" s="19">
        <f>IF(OR($F753="",$H753=""),"",$F753-$H753)</f>
        <v/>
      </c>
      <c r="J753" s="21">
        <f>IF($G753="","",$G753-TODAY())</f>
        <v/>
      </c>
      <c r="K753" s="21">
        <f>IF($I753="","",IFERROR(IF(N(INDEX('Cars'!$J$4:$J$103,MATCH($A753,'Cars'!$A$4:$A$103,0)))&gt;0,ROUND($I753/INDEX('Cars'!$J$4:$J$103,MATCH($A753,'Cars'!$A$4:$A$103,0))*30,0),""),""))</f>
        <v/>
      </c>
      <c r="L753" s="21">
        <f>IF(AND($J753="",$K753=""),"",MIN(IF($J753="",99999,$J753),IF($K753="",99999,$K753)))</f>
        <v/>
      </c>
      <c r="M753" s="16">
        <f>IF(AND($I753="",$J753=""),"",IF(OR(AND($I753&lt;&gt;"",N($I753)&lt;0),AND($J753&lt;&gt;"",N($J753)&lt;0)),"Overdue",IF(OR(AND($I753&lt;&gt;"",N($I753)&lt;=IFERROR(INDEX('Intervals'!$E$4:$E$33,MATCH($B753,'Intervals'!$A$4:$A$33,0)),500)),AND($J753&lt;&gt;"",N($J753)&lt;=IFERROR(INDEX('Intervals'!$F$4:$F$33,MATCH($B753,'Intervals'!$A$4:$A$33,0)),14))),"Due soon","OK")))</f>
        <v/>
      </c>
      <c r="N753" s="15" t="n"/>
      <c r="O753" s="22">
        <f>IF(OR($M753="",$M753="OK"),"",$L753+ROW()/100000)</f>
        <v/>
      </c>
    </row>
    <row r="754">
      <c r="A754" s="15" t="n"/>
      <c r="B754" s="15" t="n"/>
      <c r="C754" s="16">
        <f>IF($B754="","",IFERROR(INDEX('Intervals'!$B$4:$B$33,MATCH($B754,'Intervals'!$A$4:$A$33,0)),""))</f>
        <v/>
      </c>
      <c r="D754" s="17" t="n"/>
      <c r="E754" s="18" t="n"/>
      <c r="F754" s="19">
        <f>IF(OR($B754="",$E754=""),"",IFERROR(IF(AND(INDEX('Intervals'!$G$4:$G$33,MATCH($B754,'Intervals'!$A$4:$A$33,0))&lt;&gt;"No",N(INDEX('Intervals'!$C$4:$C$33,MATCH($B754,'Intervals'!$A$4:$A$33,0)))&gt;0),$E754+N(INDEX('Intervals'!$C$4:$C$33,MATCH($B754,'Intervals'!$A$4:$A$33,0))),""),""))</f>
        <v/>
      </c>
      <c r="G754" s="20">
        <f>IF(OR($B754="",$D754=""),"",IFERROR(IF(AND(INDEX('Intervals'!$G$4:$G$33,MATCH($B754,'Intervals'!$A$4:$A$33,0))&lt;&gt;"No",N(INDEX('Intervals'!$D$4:$D$33,MATCH($B754,'Intervals'!$A$4:$A$33,0)))&gt;0),EDATE($D754,N(INDEX('Intervals'!$D$4:$D$33,MATCH($B754,'Intervals'!$A$4:$A$33,0)))),""),""))</f>
        <v/>
      </c>
      <c r="H754" s="19">
        <f>IF($A754="","",IFERROR(IF(N(INDEX('Cars'!$H$4:$H$103,MATCH($A754,'Cars'!$A$4:$A$103,0)))&gt;0,INDEX('Cars'!$H$4:$H$103,MATCH($A754,'Cars'!$A$4:$A$103,0)),""),""))</f>
        <v/>
      </c>
      <c r="I754" s="19">
        <f>IF(OR($F754="",$H754=""),"",$F754-$H754)</f>
        <v/>
      </c>
      <c r="J754" s="21">
        <f>IF($G754="","",$G754-TODAY())</f>
        <v/>
      </c>
      <c r="K754" s="21">
        <f>IF($I754="","",IFERROR(IF(N(INDEX('Cars'!$J$4:$J$103,MATCH($A754,'Cars'!$A$4:$A$103,0)))&gt;0,ROUND($I754/INDEX('Cars'!$J$4:$J$103,MATCH($A754,'Cars'!$A$4:$A$103,0))*30,0),""),""))</f>
        <v/>
      </c>
      <c r="L754" s="21">
        <f>IF(AND($J754="",$K754=""),"",MIN(IF($J754="",99999,$J754),IF($K754="",99999,$K754)))</f>
        <v/>
      </c>
      <c r="M754" s="16">
        <f>IF(AND($I754="",$J754=""),"",IF(OR(AND($I754&lt;&gt;"",N($I754)&lt;0),AND($J754&lt;&gt;"",N($J754)&lt;0)),"Overdue",IF(OR(AND($I754&lt;&gt;"",N($I754)&lt;=IFERROR(INDEX('Intervals'!$E$4:$E$33,MATCH($B754,'Intervals'!$A$4:$A$33,0)),500)),AND($J754&lt;&gt;"",N($J754)&lt;=IFERROR(INDEX('Intervals'!$F$4:$F$33,MATCH($B754,'Intervals'!$A$4:$A$33,0)),14))),"Due soon","OK")))</f>
        <v/>
      </c>
      <c r="N754" s="15" t="n"/>
      <c r="O754" s="22">
        <f>IF(OR($M754="",$M754="OK"),"",$L754+ROW()/100000)</f>
        <v/>
      </c>
    </row>
    <row r="755">
      <c r="A755" s="15" t="n"/>
      <c r="B755" s="15" t="n"/>
      <c r="C755" s="16">
        <f>IF($B755="","",IFERROR(INDEX('Intervals'!$B$4:$B$33,MATCH($B755,'Intervals'!$A$4:$A$33,0)),""))</f>
        <v/>
      </c>
      <c r="D755" s="17" t="n"/>
      <c r="E755" s="18" t="n"/>
      <c r="F755" s="19">
        <f>IF(OR($B755="",$E755=""),"",IFERROR(IF(AND(INDEX('Intervals'!$G$4:$G$33,MATCH($B755,'Intervals'!$A$4:$A$33,0))&lt;&gt;"No",N(INDEX('Intervals'!$C$4:$C$33,MATCH($B755,'Intervals'!$A$4:$A$33,0)))&gt;0),$E755+N(INDEX('Intervals'!$C$4:$C$33,MATCH($B755,'Intervals'!$A$4:$A$33,0))),""),""))</f>
        <v/>
      </c>
      <c r="G755" s="20">
        <f>IF(OR($B755="",$D755=""),"",IFERROR(IF(AND(INDEX('Intervals'!$G$4:$G$33,MATCH($B755,'Intervals'!$A$4:$A$33,0))&lt;&gt;"No",N(INDEX('Intervals'!$D$4:$D$33,MATCH($B755,'Intervals'!$A$4:$A$33,0)))&gt;0),EDATE($D755,N(INDEX('Intervals'!$D$4:$D$33,MATCH($B755,'Intervals'!$A$4:$A$33,0)))),""),""))</f>
        <v/>
      </c>
      <c r="H755" s="19">
        <f>IF($A755="","",IFERROR(IF(N(INDEX('Cars'!$H$4:$H$103,MATCH($A755,'Cars'!$A$4:$A$103,0)))&gt;0,INDEX('Cars'!$H$4:$H$103,MATCH($A755,'Cars'!$A$4:$A$103,0)),""),""))</f>
        <v/>
      </c>
      <c r="I755" s="19">
        <f>IF(OR($F755="",$H755=""),"",$F755-$H755)</f>
        <v/>
      </c>
      <c r="J755" s="21">
        <f>IF($G755="","",$G755-TODAY())</f>
        <v/>
      </c>
      <c r="K755" s="21">
        <f>IF($I755="","",IFERROR(IF(N(INDEX('Cars'!$J$4:$J$103,MATCH($A755,'Cars'!$A$4:$A$103,0)))&gt;0,ROUND($I755/INDEX('Cars'!$J$4:$J$103,MATCH($A755,'Cars'!$A$4:$A$103,0))*30,0),""),""))</f>
        <v/>
      </c>
      <c r="L755" s="21">
        <f>IF(AND($J755="",$K755=""),"",MIN(IF($J755="",99999,$J755),IF($K755="",99999,$K755)))</f>
        <v/>
      </c>
      <c r="M755" s="16">
        <f>IF(AND($I755="",$J755=""),"",IF(OR(AND($I755&lt;&gt;"",N($I755)&lt;0),AND($J755&lt;&gt;"",N($J755)&lt;0)),"Overdue",IF(OR(AND($I755&lt;&gt;"",N($I755)&lt;=IFERROR(INDEX('Intervals'!$E$4:$E$33,MATCH($B755,'Intervals'!$A$4:$A$33,0)),500)),AND($J755&lt;&gt;"",N($J755)&lt;=IFERROR(INDEX('Intervals'!$F$4:$F$33,MATCH($B755,'Intervals'!$A$4:$A$33,0)),14))),"Due soon","OK")))</f>
        <v/>
      </c>
      <c r="N755" s="15" t="n"/>
      <c r="O755" s="22">
        <f>IF(OR($M755="",$M755="OK"),"",$L755+ROW()/100000)</f>
        <v/>
      </c>
    </row>
    <row r="756">
      <c r="A756" s="15" t="n"/>
      <c r="B756" s="15" t="n"/>
      <c r="C756" s="16">
        <f>IF($B756="","",IFERROR(INDEX('Intervals'!$B$4:$B$33,MATCH($B756,'Intervals'!$A$4:$A$33,0)),""))</f>
        <v/>
      </c>
      <c r="D756" s="17" t="n"/>
      <c r="E756" s="18" t="n"/>
      <c r="F756" s="19">
        <f>IF(OR($B756="",$E756=""),"",IFERROR(IF(AND(INDEX('Intervals'!$G$4:$G$33,MATCH($B756,'Intervals'!$A$4:$A$33,0))&lt;&gt;"No",N(INDEX('Intervals'!$C$4:$C$33,MATCH($B756,'Intervals'!$A$4:$A$33,0)))&gt;0),$E756+N(INDEX('Intervals'!$C$4:$C$33,MATCH($B756,'Intervals'!$A$4:$A$33,0))),""),""))</f>
        <v/>
      </c>
      <c r="G756" s="20">
        <f>IF(OR($B756="",$D756=""),"",IFERROR(IF(AND(INDEX('Intervals'!$G$4:$G$33,MATCH($B756,'Intervals'!$A$4:$A$33,0))&lt;&gt;"No",N(INDEX('Intervals'!$D$4:$D$33,MATCH($B756,'Intervals'!$A$4:$A$33,0)))&gt;0),EDATE($D756,N(INDEX('Intervals'!$D$4:$D$33,MATCH($B756,'Intervals'!$A$4:$A$33,0)))),""),""))</f>
        <v/>
      </c>
      <c r="H756" s="19">
        <f>IF($A756="","",IFERROR(IF(N(INDEX('Cars'!$H$4:$H$103,MATCH($A756,'Cars'!$A$4:$A$103,0)))&gt;0,INDEX('Cars'!$H$4:$H$103,MATCH($A756,'Cars'!$A$4:$A$103,0)),""),""))</f>
        <v/>
      </c>
      <c r="I756" s="19">
        <f>IF(OR($F756="",$H756=""),"",$F756-$H756)</f>
        <v/>
      </c>
      <c r="J756" s="21">
        <f>IF($G756="","",$G756-TODAY())</f>
        <v/>
      </c>
      <c r="K756" s="21">
        <f>IF($I756="","",IFERROR(IF(N(INDEX('Cars'!$J$4:$J$103,MATCH($A756,'Cars'!$A$4:$A$103,0)))&gt;0,ROUND($I756/INDEX('Cars'!$J$4:$J$103,MATCH($A756,'Cars'!$A$4:$A$103,0))*30,0),""),""))</f>
        <v/>
      </c>
      <c r="L756" s="21">
        <f>IF(AND($J756="",$K756=""),"",MIN(IF($J756="",99999,$J756),IF($K756="",99999,$K756)))</f>
        <v/>
      </c>
      <c r="M756" s="16">
        <f>IF(AND($I756="",$J756=""),"",IF(OR(AND($I756&lt;&gt;"",N($I756)&lt;0),AND($J756&lt;&gt;"",N($J756)&lt;0)),"Overdue",IF(OR(AND($I756&lt;&gt;"",N($I756)&lt;=IFERROR(INDEX('Intervals'!$E$4:$E$33,MATCH($B756,'Intervals'!$A$4:$A$33,0)),500)),AND($J756&lt;&gt;"",N($J756)&lt;=IFERROR(INDEX('Intervals'!$F$4:$F$33,MATCH($B756,'Intervals'!$A$4:$A$33,0)),14))),"Due soon","OK")))</f>
        <v/>
      </c>
      <c r="N756" s="15" t="n"/>
      <c r="O756" s="22">
        <f>IF(OR($M756="",$M756="OK"),"",$L756+ROW()/100000)</f>
        <v/>
      </c>
    </row>
    <row r="757">
      <c r="A757" s="15" t="n"/>
      <c r="B757" s="15" t="n"/>
      <c r="C757" s="16">
        <f>IF($B757="","",IFERROR(INDEX('Intervals'!$B$4:$B$33,MATCH($B757,'Intervals'!$A$4:$A$33,0)),""))</f>
        <v/>
      </c>
      <c r="D757" s="17" t="n"/>
      <c r="E757" s="18" t="n"/>
      <c r="F757" s="19">
        <f>IF(OR($B757="",$E757=""),"",IFERROR(IF(AND(INDEX('Intervals'!$G$4:$G$33,MATCH($B757,'Intervals'!$A$4:$A$33,0))&lt;&gt;"No",N(INDEX('Intervals'!$C$4:$C$33,MATCH($B757,'Intervals'!$A$4:$A$33,0)))&gt;0),$E757+N(INDEX('Intervals'!$C$4:$C$33,MATCH($B757,'Intervals'!$A$4:$A$33,0))),""),""))</f>
        <v/>
      </c>
      <c r="G757" s="20">
        <f>IF(OR($B757="",$D757=""),"",IFERROR(IF(AND(INDEX('Intervals'!$G$4:$G$33,MATCH($B757,'Intervals'!$A$4:$A$33,0))&lt;&gt;"No",N(INDEX('Intervals'!$D$4:$D$33,MATCH($B757,'Intervals'!$A$4:$A$33,0)))&gt;0),EDATE($D757,N(INDEX('Intervals'!$D$4:$D$33,MATCH($B757,'Intervals'!$A$4:$A$33,0)))),""),""))</f>
        <v/>
      </c>
      <c r="H757" s="19">
        <f>IF($A757="","",IFERROR(IF(N(INDEX('Cars'!$H$4:$H$103,MATCH($A757,'Cars'!$A$4:$A$103,0)))&gt;0,INDEX('Cars'!$H$4:$H$103,MATCH($A757,'Cars'!$A$4:$A$103,0)),""),""))</f>
        <v/>
      </c>
      <c r="I757" s="19">
        <f>IF(OR($F757="",$H757=""),"",$F757-$H757)</f>
        <v/>
      </c>
      <c r="J757" s="21">
        <f>IF($G757="","",$G757-TODAY())</f>
        <v/>
      </c>
      <c r="K757" s="21">
        <f>IF($I757="","",IFERROR(IF(N(INDEX('Cars'!$J$4:$J$103,MATCH($A757,'Cars'!$A$4:$A$103,0)))&gt;0,ROUND($I757/INDEX('Cars'!$J$4:$J$103,MATCH($A757,'Cars'!$A$4:$A$103,0))*30,0),""),""))</f>
        <v/>
      </c>
      <c r="L757" s="21">
        <f>IF(AND($J757="",$K757=""),"",MIN(IF($J757="",99999,$J757),IF($K757="",99999,$K757)))</f>
        <v/>
      </c>
      <c r="M757" s="16">
        <f>IF(AND($I757="",$J757=""),"",IF(OR(AND($I757&lt;&gt;"",N($I757)&lt;0),AND($J757&lt;&gt;"",N($J757)&lt;0)),"Overdue",IF(OR(AND($I757&lt;&gt;"",N($I757)&lt;=IFERROR(INDEX('Intervals'!$E$4:$E$33,MATCH($B757,'Intervals'!$A$4:$A$33,0)),500)),AND($J757&lt;&gt;"",N($J757)&lt;=IFERROR(INDEX('Intervals'!$F$4:$F$33,MATCH($B757,'Intervals'!$A$4:$A$33,0)),14))),"Due soon","OK")))</f>
        <v/>
      </c>
      <c r="N757" s="15" t="n"/>
      <c r="O757" s="22">
        <f>IF(OR($M757="",$M757="OK"),"",$L757+ROW()/100000)</f>
        <v/>
      </c>
    </row>
    <row r="758">
      <c r="A758" s="15" t="n"/>
      <c r="B758" s="15" t="n"/>
      <c r="C758" s="16">
        <f>IF($B758="","",IFERROR(INDEX('Intervals'!$B$4:$B$33,MATCH($B758,'Intervals'!$A$4:$A$33,0)),""))</f>
        <v/>
      </c>
      <c r="D758" s="17" t="n"/>
      <c r="E758" s="18" t="n"/>
      <c r="F758" s="19">
        <f>IF(OR($B758="",$E758=""),"",IFERROR(IF(AND(INDEX('Intervals'!$G$4:$G$33,MATCH($B758,'Intervals'!$A$4:$A$33,0))&lt;&gt;"No",N(INDEX('Intervals'!$C$4:$C$33,MATCH($B758,'Intervals'!$A$4:$A$33,0)))&gt;0),$E758+N(INDEX('Intervals'!$C$4:$C$33,MATCH($B758,'Intervals'!$A$4:$A$33,0))),""),""))</f>
        <v/>
      </c>
      <c r="G758" s="20">
        <f>IF(OR($B758="",$D758=""),"",IFERROR(IF(AND(INDEX('Intervals'!$G$4:$G$33,MATCH($B758,'Intervals'!$A$4:$A$33,0))&lt;&gt;"No",N(INDEX('Intervals'!$D$4:$D$33,MATCH($B758,'Intervals'!$A$4:$A$33,0)))&gt;0),EDATE($D758,N(INDEX('Intervals'!$D$4:$D$33,MATCH($B758,'Intervals'!$A$4:$A$33,0)))),""),""))</f>
        <v/>
      </c>
      <c r="H758" s="19">
        <f>IF($A758="","",IFERROR(IF(N(INDEX('Cars'!$H$4:$H$103,MATCH($A758,'Cars'!$A$4:$A$103,0)))&gt;0,INDEX('Cars'!$H$4:$H$103,MATCH($A758,'Cars'!$A$4:$A$103,0)),""),""))</f>
        <v/>
      </c>
      <c r="I758" s="19">
        <f>IF(OR($F758="",$H758=""),"",$F758-$H758)</f>
        <v/>
      </c>
      <c r="J758" s="21">
        <f>IF($G758="","",$G758-TODAY())</f>
        <v/>
      </c>
      <c r="K758" s="21">
        <f>IF($I758="","",IFERROR(IF(N(INDEX('Cars'!$J$4:$J$103,MATCH($A758,'Cars'!$A$4:$A$103,0)))&gt;0,ROUND($I758/INDEX('Cars'!$J$4:$J$103,MATCH($A758,'Cars'!$A$4:$A$103,0))*30,0),""),""))</f>
        <v/>
      </c>
      <c r="L758" s="21">
        <f>IF(AND($J758="",$K758=""),"",MIN(IF($J758="",99999,$J758),IF($K758="",99999,$K758)))</f>
        <v/>
      </c>
      <c r="M758" s="16">
        <f>IF(AND($I758="",$J758=""),"",IF(OR(AND($I758&lt;&gt;"",N($I758)&lt;0),AND($J758&lt;&gt;"",N($J758)&lt;0)),"Overdue",IF(OR(AND($I758&lt;&gt;"",N($I758)&lt;=IFERROR(INDEX('Intervals'!$E$4:$E$33,MATCH($B758,'Intervals'!$A$4:$A$33,0)),500)),AND($J758&lt;&gt;"",N($J758)&lt;=IFERROR(INDEX('Intervals'!$F$4:$F$33,MATCH($B758,'Intervals'!$A$4:$A$33,0)),14))),"Due soon","OK")))</f>
        <v/>
      </c>
      <c r="N758" s="15" t="n"/>
      <c r="O758" s="22">
        <f>IF(OR($M758="",$M758="OK"),"",$L758+ROW()/100000)</f>
        <v/>
      </c>
    </row>
    <row r="759">
      <c r="A759" s="15" t="n"/>
      <c r="B759" s="15" t="n"/>
      <c r="C759" s="16">
        <f>IF($B759="","",IFERROR(INDEX('Intervals'!$B$4:$B$33,MATCH($B759,'Intervals'!$A$4:$A$33,0)),""))</f>
        <v/>
      </c>
      <c r="D759" s="17" t="n"/>
      <c r="E759" s="18" t="n"/>
      <c r="F759" s="19">
        <f>IF(OR($B759="",$E759=""),"",IFERROR(IF(AND(INDEX('Intervals'!$G$4:$G$33,MATCH($B759,'Intervals'!$A$4:$A$33,0))&lt;&gt;"No",N(INDEX('Intervals'!$C$4:$C$33,MATCH($B759,'Intervals'!$A$4:$A$33,0)))&gt;0),$E759+N(INDEX('Intervals'!$C$4:$C$33,MATCH($B759,'Intervals'!$A$4:$A$33,0))),""),""))</f>
        <v/>
      </c>
      <c r="G759" s="20">
        <f>IF(OR($B759="",$D759=""),"",IFERROR(IF(AND(INDEX('Intervals'!$G$4:$G$33,MATCH($B759,'Intervals'!$A$4:$A$33,0))&lt;&gt;"No",N(INDEX('Intervals'!$D$4:$D$33,MATCH($B759,'Intervals'!$A$4:$A$33,0)))&gt;0),EDATE($D759,N(INDEX('Intervals'!$D$4:$D$33,MATCH($B759,'Intervals'!$A$4:$A$33,0)))),""),""))</f>
        <v/>
      </c>
      <c r="H759" s="19">
        <f>IF($A759="","",IFERROR(IF(N(INDEX('Cars'!$H$4:$H$103,MATCH($A759,'Cars'!$A$4:$A$103,0)))&gt;0,INDEX('Cars'!$H$4:$H$103,MATCH($A759,'Cars'!$A$4:$A$103,0)),""),""))</f>
        <v/>
      </c>
      <c r="I759" s="19">
        <f>IF(OR($F759="",$H759=""),"",$F759-$H759)</f>
        <v/>
      </c>
      <c r="J759" s="21">
        <f>IF($G759="","",$G759-TODAY())</f>
        <v/>
      </c>
      <c r="K759" s="21">
        <f>IF($I759="","",IFERROR(IF(N(INDEX('Cars'!$J$4:$J$103,MATCH($A759,'Cars'!$A$4:$A$103,0)))&gt;0,ROUND($I759/INDEX('Cars'!$J$4:$J$103,MATCH($A759,'Cars'!$A$4:$A$103,0))*30,0),""),""))</f>
        <v/>
      </c>
      <c r="L759" s="21">
        <f>IF(AND($J759="",$K759=""),"",MIN(IF($J759="",99999,$J759),IF($K759="",99999,$K759)))</f>
        <v/>
      </c>
      <c r="M759" s="16">
        <f>IF(AND($I759="",$J759=""),"",IF(OR(AND($I759&lt;&gt;"",N($I759)&lt;0),AND($J759&lt;&gt;"",N($J759)&lt;0)),"Overdue",IF(OR(AND($I759&lt;&gt;"",N($I759)&lt;=IFERROR(INDEX('Intervals'!$E$4:$E$33,MATCH($B759,'Intervals'!$A$4:$A$33,0)),500)),AND($J759&lt;&gt;"",N($J759)&lt;=IFERROR(INDEX('Intervals'!$F$4:$F$33,MATCH($B759,'Intervals'!$A$4:$A$33,0)),14))),"Due soon","OK")))</f>
        <v/>
      </c>
      <c r="N759" s="15" t="n"/>
      <c r="O759" s="22">
        <f>IF(OR($M759="",$M759="OK"),"",$L759+ROW()/100000)</f>
        <v/>
      </c>
    </row>
    <row r="760">
      <c r="A760" s="15" t="n"/>
      <c r="B760" s="15" t="n"/>
      <c r="C760" s="16">
        <f>IF($B760="","",IFERROR(INDEX('Intervals'!$B$4:$B$33,MATCH($B760,'Intervals'!$A$4:$A$33,0)),""))</f>
        <v/>
      </c>
      <c r="D760" s="17" t="n"/>
      <c r="E760" s="18" t="n"/>
      <c r="F760" s="19">
        <f>IF(OR($B760="",$E760=""),"",IFERROR(IF(AND(INDEX('Intervals'!$G$4:$G$33,MATCH($B760,'Intervals'!$A$4:$A$33,0))&lt;&gt;"No",N(INDEX('Intervals'!$C$4:$C$33,MATCH($B760,'Intervals'!$A$4:$A$33,0)))&gt;0),$E760+N(INDEX('Intervals'!$C$4:$C$33,MATCH($B760,'Intervals'!$A$4:$A$33,0))),""),""))</f>
        <v/>
      </c>
      <c r="G760" s="20">
        <f>IF(OR($B760="",$D760=""),"",IFERROR(IF(AND(INDEX('Intervals'!$G$4:$G$33,MATCH($B760,'Intervals'!$A$4:$A$33,0))&lt;&gt;"No",N(INDEX('Intervals'!$D$4:$D$33,MATCH($B760,'Intervals'!$A$4:$A$33,0)))&gt;0),EDATE($D760,N(INDEX('Intervals'!$D$4:$D$33,MATCH($B760,'Intervals'!$A$4:$A$33,0)))),""),""))</f>
        <v/>
      </c>
      <c r="H760" s="19">
        <f>IF($A760="","",IFERROR(IF(N(INDEX('Cars'!$H$4:$H$103,MATCH($A760,'Cars'!$A$4:$A$103,0)))&gt;0,INDEX('Cars'!$H$4:$H$103,MATCH($A760,'Cars'!$A$4:$A$103,0)),""),""))</f>
        <v/>
      </c>
      <c r="I760" s="19">
        <f>IF(OR($F760="",$H760=""),"",$F760-$H760)</f>
        <v/>
      </c>
      <c r="J760" s="21">
        <f>IF($G760="","",$G760-TODAY())</f>
        <v/>
      </c>
      <c r="K760" s="21">
        <f>IF($I760="","",IFERROR(IF(N(INDEX('Cars'!$J$4:$J$103,MATCH($A760,'Cars'!$A$4:$A$103,0)))&gt;0,ROUND($I760/INDEX('Cars'!$J$4:$J$103,MATCH($A760,'Cars'!$A$4:$A$103,0))*30,0),""),""))</f>
        <v/>
      </c>
      <c r="L760" s="21">
        <f>IF(AND($J760="",$K760=""),"",MIN(IF($J760="",99999,$J760),IF($K760="",99999,$K760)))</f>
        <v/>
      </c>
      <c r="M760" s="16">
        <f>IF(AND($I760="",$J760=""),"",IF(OR(AND($I760&lt;&gt;"",N($I760)&lt;0),AND($J760&lt;&gt;"",N($J760)&lt;0)),"Overdue",IF(OR(AND($I760&lt;&gt;"",N($I760)&lt;=IFERROR(INDEX('Intervals'!$E$4:$E$33,MATCH($B760,'Intervals'!$A$4:$A$33,0)),500)),AND($J760&lt;&gt;"",N($J760)&lt;=IFERROR(INDEX('Intervals'!$F$4:$F$33,MATCH($B760,'Intervals'!$A$4:$A$33,0)),14))),"Due soon","OK")))</f>
        <v/>
      </c>
      <c r="N760" s="15" t="n"/>
      <c r="O760" s="22">
        <f>IF(OR($M760="",$M760="OK"),"",$L760+ROW()/100000)</f>
        <v/>
      </c>
    </row>
    <row r="761">
      <c r="A761" s="15" t="n"/>
      <c r="B761" s="15" t="n"/>
      <c r="C761" s="16">
        <f>IF($B761="","",IFERROR(INDEX('Intervals'!$B$4:$B$33,MATCH($B761,'Intervals'!$A$4:$A$33,0)),""))</f>
        <v/>
      </c>
      <c r="D761" s="17" t="n"/>
      <c r="E761" s="18" t="n"/>
      <c r="F761" s="19">
        <f>IF(OR($B761="",$E761=""),"",IFERROR(IF(AND(INDEX('Intervals'!$G$4:$G$33,MATCH($B761,'Intervals'!$A$4:$A$33,0))&lt;&gt;"No",N(INDEX('Intervals'!$C$4:$C$33,MATCH($B761,'Intervals'!$A$4:$A$33,0)))&gt;0),$E761+N(INDEX('Intervals'!$C$4:$C$33,MATCH($B761,'Intervals'!$A$4:$A$33,0))),""),""))</f>
        <v/>
      </c>
      <c r="G761" s="20">
        <f>IF(OR($B761="",$D761=""),"",IFERROR(IF(AND(INDEX('Intervals'!$G$4:$G$33,MATCH($B761,'Intervals'!$A$4:$A$33,0))&lt;&gt;"No",N(INDEX('Intervals'!$D$4:$D$33,MATCH($B761,'Intervals'!$A$4:$A$33,0)))&gt;0),EDATE($D761,N(INDEX('Intervals'!$D$4:$D$33,MATCH($B761,'Intervals'!$A$4:$A$33,0)))),""),""))</f>
        <v/>
      </c>
      <c r="H761" s="19">
        <f>IF($A761="","",IFERROR(IF(N(INDEX('Cars'!$H$4:$H$103,MATCH($A761,'Cars'!$A$4:$A$103,0)))&gt;0,INDEX('Cars'!$H$4:$H$103,MATCH($A761,'Cars'!$A$4:$A$103,0)),""),""))</f>
        <v/>
      </c>
      <c r="I761" s="19">
        <f>IF(OR($F761="",$H761=""),"",$F761-$H761)</f>
        <v/>
      </c>
      <c r="J761" s="21">
        <f>IF($G761="","",$G761-TODAY())</f>
        <v/>
      </c>
      <c r="K761" s="21">
        <f>IF($I761="","",IFERROR(IF(N(INDEX('Cars'!$J$4:$J$103,MATCH($A761,'Cars'!$A$4:$A$103,0)))&gt;0,ROUND($I761/INDEX('Cars'!$J$4:$J$103,MATCH($A761,'Cars'!$A$4:$A$103,0))*30,0),""),""))</f>
        <v/>
      </c>
      <c r="L761" s="21">
        <f>IF(AND($J761="",$K761=""),"",MIN(IF($J761="",99999,$J761),IF($K761="",99999,$K761)))</f>
        <v/>
      </c>
      <c r="M761" s="16">
        <f>IF(AND($I761="",$J761=""),"",IF(OR(AND($I761&lt;&gt;"",N($I761)&lt;0),AND($J761&lt;&gt;"",N($J761)&lt;0)),"Overdue",IF(OR(AND($I761&lt;&gt;"",N($I761)&lt;=IFERROR(INDEX('Intervals'!$E$4:$E$33,MATCH($B761,'Intervals'!$A$4:$A$33,0)),500)),AND($J761&lt;&gt;"",N($J761)&lt;=IFERROR(INDEX('Intervals'!$F$4:$F$33,MATCH($B761,'Intervals'!$A$4:$A$33,0)),14))),"Due soon","OK")))</f>
        <v/>
      </c>
      <c r="N761" s="15" t="n"/>
      <c r="O761" s="22">
        <f>IF(OR($M761="",$M761="OK"),"",$L761+ROW()/100000)</f>
        <v/>
      </c>
    </row>
    <row r="762">
      <c r="A762" s="15" t="n"/>
      <c r="B762" s="15" t="n"/>
      <c r="C762" s="16">
        <f>IF($B762="","",IFERROR(INDEX('Intervals'!$B$4:$B$33,MATCH($B762,'Intervals'!$A$4:$A$33,0)),""))</f>
        <v/>
      </c>
      <c r="D762" s="17" t="n"/>
      <c r="E762" s="18" t="n"/>
      <c r="F762" s="19">
        <f>IF(OR($B762="",$E762=""),"",IFERROR(IF(AND(INDEX('Intervals'!$G$4:$G$33,MATCH($B762,'Intervals'!$A$4:$A$33,0))&lt;&gt;"No",N(INDEX('Intervals'!$C$4:$C$33,MATCH($B762,'Intervals'!$A$4:$A$33,0)))&gt;0),$E762+N(INDEX('Intervals'!$C$4:$C$33,MATCH($B762,'Intervals'!$A$4:$A$33,0))),""),""))</f>
        <v/>
      </c>
      <c r="G762" s="20">
        <f>IF(OR($B762="",$D762=""),"",IFERROR(IF(AND(INDEX('Intervals'!$G$4:$G$33,MATCH($B762,'Intervals'!$A$4:$A$33,0))&lt;&gt;"No",N(INDEX('Intervals'!$D$4:$D$33,MATCH($B762,'Intervals'!$A$4:$A$33,0)))&gt;0),EDATE($D762,N(INDEX('Intervals'!$D$4:$D$33,MATCH($B762,'Intervals'!$A$4:$A$33,0)))),""),""))</f>
        <v/>
      </c>
      <c r="H762" s="19">
        <f>IF($A762="","",IFERROR(IF(N(INDEX('Cars'!$H$4:$H$103,MATCH($A762,'Cars'!$A$4:$A$103,0)))&gt;0,INDEX('Cars'!$H$4:$H$103,MATCH($A762,'Cars'!$A$4:$A$103,0)),""),""))</f>
        <v/>
      </c>
      <c r="I762" s="19">
        <f>IF(OR($F762="",$H762=""),"",$F762-$H762)</f>
        <v/>
      </c>
      <c r="J762" s="21">
        <f>IF($G762="","",$G762-TODAY())</f>
        <v/>
      </c>
      <c r="K762" s="21">
        <f>IF($I762="","",IFERROR(IF(N(INDEX('Cars'!$J$4:$J$103,MATCH($A762,'Cars'!$A$4:$A$103,0)))&gt;0,ROUND($I762/INDEX('Cars'!$J$4:$J$103,MATCH($A762,'Cars'!$A$4:$A$103,0))*30,0),""),""))</f>
        <v/>
      </c>
      <c r="L762" s="21">
        <f>IF(AND($J762="",$K762=""),"",MIN(IF($J762="",99999,$J762),IF($K762="",99999,$K762)))</f>
        <v/>
      </c>
      <c r="M762" s="16">
        <f>IF(AND($I762="",$J762=""),"",IF(OR(AND($I762&lt;&gt;"",N($I762)&lt;0),AND($J762&lt;&gt;"",N($J762)&lt;0)),"Overdue",IF(OR(AND($I762&lt;&gt;"",N($I762)&lt;=IFERROR(INDEX('Intervals'!$E$4:$E$33,MATCH($B762,'Intervals'!$A$4:$A$33,0)),500)),AND($J762&lt;&gt;"",N($J762)&lt;=IFERROR(INDEX('Intervals'!$F$4:$F$33,MATCH($B762,'Intervals'!$A$4:$A$33,0)),14))),"Due soon","OK")))</f>
        <v/>
      </c>
      <c r="N762" s="15" t="n"/>
      <c r="O762" s="22">
        <f>IF(OR($M762="",$M762="OK"),"",$L762+ROW()/100000)</f>
        <v/>
      </c>
    </row>
    <row r="763">
      <c r="A763" s="15" t="n"/>
      <c r="B763" s="15" t="n"/>
      <c r="C763" s="16">
        <f>IF($B763="","",IFERROR(INDEX('Intervals'!$B$4:$B$33,MATCH($B763,'Intervals'!$A$4:$A$33,0)),""))</f>
        <v/>
      </c>
      <c r="D763" s="17" t="n"/>
      <c r="E763" s="18" t="n"/>
      <c r="F763" s="19">
        <f>IF(OR($B763="",$E763=""),"",IFERROR(IF(AND(INDEX('Intervals'!$G$4:$G$33,MATCH($B763,'Intervals'!$A$4:$A$33,0))&lt;&gt;"No",N(INDEX('Intervals'!$C$4:$C$33,MATCH($B763,'Intervals'!$A$4:$A$33,0)))&gt;0),$E763+N(INDEX('Intervals'!$C$4:$C$33,MATCH($B763,'Intervals'!$A$4:$A$33,0))),""),""))</f>
        <v/>
      </c>
      <c r="G763" s="20">
        <f>IF(OR($B763="",$D763=""),"",IFERROR(IF(AND(INDEX('Intervals'!$G$4:$G$33,MATCH($B763,'Intervals'!$A$4:$A$33,0))&lt;&gt;"No",N(INDEX('Intervals'!$D$4:$D$33,MATCH($B763,'Intervals'!$A$4:$A$33,0)))&gt;0),EDATE($D763,N(INDEX('Intervals'!$D$4:$D$33,MATCH($B763,'Intervals'!$A$4:$A$33,0)))),""),""))</f>
        <v/>
      </c>
      <c r="H763" s="19">
        <f>IF($A763="","",IFERROR(IF(N(INDEX('Cars'!$H$4:$H$103,MATCH($A763,'Cars'!$A$4:$A$103,0)))&gt;0,INDEX('Cars'!$H$4:$H$103,MATCH($A763,'Cars'!$A$4:$A$103,0)),""),""))</f>
        <v/>
      </c>
      <c r="I763" s="19">
        <f>IF(OR($F763="",$H763=""),"",$F763-$H763)</f>
        <v/>
      </c>
      <c r="J763" s="21">
        <f>IF($G763="","",$G763-TODAY())</f>
        <v/>
      </c>
      <c r="K763" s="21">
        <f>IF($I763="","",IFERROR(IF(N(INDEX('Cars'!$J$4:$J$103,MATCH($A763,'Cars'!$A$4:$A$103,0)))&gt;0,ROUND($I763/INDEX('Cars'!$J$4:$J$103,MATCH($A763,'Cars'!$A$4:$A$103,0))*30,0),""),""))</f>
        <v/>
      </c>
      <c r="L763" s="21">
        <f>IF(AND($J763="",$K763=""),"",MIN(IF($J763="",99999,$J763),IF($K763="",99999,$K763)))</f>
        <v/>
      </c>
      <c r="M763" s="16">
        <f>IF(AND($I763="",$J763=""),"",IF(OR(AND($I763&lt;&gt;"",N($I763)&lt;0),AND($J763&lt;&gt;"",N($J763)&lt;0)),"Overdue",IF(OR(AND($I763&lt;&gt;"",N($I763)&lt;=IFERROR(INDEX('Intervals'!$E$4:$E$33,MATCH($B763,'Intervals'!$A$4:$A$33,0)),500)),AND($J763&lt;&gt;"",N($J763)&lt;=IFERROR(INDEX('Intervals'!$F$4:$F$33,MATCH($B763,'Intervals'!$A$4:$A$33,0)),14))),"Due soon","OK")))</f>
        <v/>
      </c>
      <c r="N763" s="15" t="n"/>
      <c r="O763" s="22">
        <f>IF(OR($M763="",$M763="OK"),"",$L763+ROW()/100000)</f>
        <v/>
      </c>
    </row>
    <row r="764">
      <c r="A764" s="15" t="n"/>
      <c r="B764" s="15" t="n"/>
      <c r="C764" s="16">
        <f>IF($B764="","",IFERROR(INDEX('Intervals'!$B$4:$B$33,MATCH($B764,'Intervals'!$A$4:$A$33,0)),""))</f>
        <v/>
      </c>
      <c r="D764" s="17" t="n"/>
      <c r="E764" s="18" t="n"/>
      <c r="F764" s="19">
        <f>IF(OR($B764="",$E764=""),"",IFERROR(IF(AND(INDEX('Intervals'!$G$4:$G$33,MATCH($B764,'Intervals'!$A$4:$A$33,0))&lt;&gt;"No",N(INDEX('Intervals'!$C$4:$C$33,MATCH($B764,'Intervals'!$A$4:$A$33,0)))&gt;0),$E764+N(INDEX('Intervals'!$C$4:$C$33,MATCH($B764,'Intervals'!$A$4:$A$33,0))),""),""))</f>
        <v/>
      </c>
      <c r="G764" s="20">
        <f>IF(OR($B764="",$D764=""),"",IFERROR(IF(AND(INDEX('Intervals'!$G$4:$G$33,MATCH($B764,'Intervals'!$A$4:$A$33,0))&lt;&gt;"No",N(INDEX('Intervals'!$D$4:$D$33,MATCH($B764,'Intervals'!$A$4:$A$33,0)))&gt;0),EDATE($D764,N(INDEX('Intervals'!$D$4:$D$33,MATCH($B764,'Intervals'!$A$4:$A$33,0)))),""),""))</f>
        <v/>
      </c>
      <c r="H764" s="19">
        <f>IF($A764="","",IFERROR(IF(N(INDEX('Cars'!$H$4:$H$103,MATCH($A764,'Cars'!$A$4:$A$103,0)))&gt;0,INDEX('Cars'!$H$4:$H$103,MATCH($A764,'Cars'!$A$4:$A$103,0)),""),""))</f>
        <v/>
      </c>
      <c r="I764" s="19">
        <f>IF(OR($F764="",$H764=""),"",$F764-$H764)</f>
        <v/>
      </c>
      <c r="J764" s="21">
        <f>IF($G764="","",$G764-TODAY())</f>
        <v/>
      </c>
      <c r="K764" s="21">
        <f>IF($I764="","",IFERROR(IF(N(INDEX('Cars'!$J$4:$J$103,MATCH($A764,'Cars'!$A$4:$A$103,0)))&gt;0,ROUND($I764/INDEX('Cars'!$J$4:$J$103,MATCH($A764,'Cars'!$A$4:$A$103,0))*30,0),""),""))</f>
        <v/>
      </c>
      <c r="L764" s="21">
        <f>IF(AND($J764="",$K764=""),"",MIN(IF($J764="",99999,$J764),IF($K764="",99999,$K764)))</f>
        <v/>
      </c>
      <c r="M764" s="16">
        <f>IF(AND($I764="",$J764=""),"",IF(OR(AND($I764&lt;&gt;"",N($I764)&lt;0),AND($J764&lt;&gt;"",N($J764)&lt;0)),"Overdue",IF(OR(AND($I764&lt;&gt;"",N($I764)&lt;=IFERROR(INDEX('Intervals'!$E$4:$E$33,MATCH($B764,'Intervals'!$A$4:$A$33,0)),500)),AND($J764&lt;&gt;"",N($J764)&lt;=IFERROR(INDEX('Intervals'!$F$4:$F$33,MATCH($B764,'Intervals'!$A$4:$A$33,0)),14))),"Due soon","OK")))</f>
        <v/>
      </c>
      <c r="N764" s="15" t="n"/>
      <c r="O764" s="22">
        <f>IF(OR($M764="",$M764="OK"),"",$L764+ROW()/100000)</f>
        <v/>
      </c>
    </row>
    <row r="765">
      <c r="A765" s="15" t="n"/>
      <c r="B765" s="15" t="n"/>
      <c r="C765" s="16">
        <f>IF($B765="","",IFERROR(INDEX('Intervals'!$B$4:$B$33,MATCH($B765,'Intervals'!$A$4:$A$33,0)),""))</f>
        <v/>
      </c>
      <c r="D765" s="17" t="n"/>
      <c r="E765" s="18" t="n"/>
      <c r="F765" s="19">
        <f>IF(OR($B765="",$E765=""),"",IFERROR(IF(AND(INDEX('Intervals'!$G$4:$G$33,MATCH($B765,'Intervals'!$A$4:$A$33,0))&lt;&gt;"No",N(INDEX('Intervals'!$C$4:$C$33,MATCH($B765,'Intervals'!$A$4:$A$33,0)))&gt;0),$E765+N(INDEX('Intervals'!$C$4:$C$33,MATCH($B765,'Intervals'!$A$4:$A$33,0))),""),""))</f>
        <v/>
      </c>
      <c r="G765" s="20">
        <f>IF(OR($B765="",$D765=""),"",IFERROR(IF(AND(INDEX('Intervals'!$G$4:$G$33,MATCH($B765,'Intervals'!$A$4:$A$33,0))&lt;&gt;"No",N(INDEX('Intervals'!$D$4:$D$33,MATCH($B765,'Intervals'!$A$4:$A$33,0)))&gt;0),EDATE($D765,N(INDEX('Intervals'!$D$4:$D$33,MATCH($B765,'Intervals'!$A$4:$A$33,0)))),""),""))</f>
        <v/>
      </c>
      <c r="H765" s="19">
        <f>IF($A765="","",IFERROR(IF(N(INDEX('Cars'!$H$4:$H$103,MATCH($A765,'Cars'!$A$4:$A$103,0)))&gt;0,INDEX('Cars'!$H$4:$H$103,MATCH($A765,'Cars'!$A$4:$A$103,0)),""),""))</f>
        <v/>
      </c>
      <c r="I765" s="19">
        <f>IF(OR($F765="",$H765=""),"",$F765-$H765)</f>
        <v/>
      </c>
      <c r="J765" s="21">
        <f>IF($G765="","",$G765-TODAY())</f>
        <v/>
      </c>
      <c r="K765" s="21">
        <f>IF($I765="","",IFERROR(IF(N(INDEX('Cars'!$J$4:$J$103,MATCH($A765,'Cars'!$A$4:$A$103,0)))&gt;0,ROUND($I765/INDEX('Cars'!$J$4:$J$103,MATCH($A765,'Cars'!$A$4:$A$103,0))*30,0),""),""))</f>
        <v/>
      </c>
      <c r="L765" s="21">
        <f>IF(AND($J765="",$K765=""),"",MIN(IF($J765="",99999,$J765),IF($K765="",99999,$K765)))</f>
        <v/>
      </c>
      <c r="M765" s="16">
        <f>IF(AND($I765="",$J765=""),"",IF(OR(AND($I765&lt;&gt;"",N($I765)&lt;0),AND($J765&lt;&gt;"",N($J765)&lt;0)),"Overdue",IF(OR(AND($I765&lt;&gt;"",N($I765)&lt;=IFERROR(INDEX('Intervals'!$E$4:$E$33,MATCH($B765,'Intervals'!$A$4:$A$33,0)),500)),AND($J765&lt;&gt;"",N($J765)&lt;=IFERROR(INDEX('Intervals'!$F$4:$F$33,MATCH($B765,'Intervals'!$A$4:$A$33,0)),14))),"Due soon","OK")))</f>
        <v/>
      </c>
      <c r="N765" s="15" t="n"/>
      <c r="O765" s="22">
        <f>IF(OR($M765="",$M765="OK"),"",$L765+ROW()/100000)</f>
        <v/>
      </c>
    </row>
    <row r="766">
      <c r="A766" s="15" t="n"/>
      <c r="B766" s="15" t="n"/>
      <c r="C766" s="16">
        <f>IF($B766="","",IFERROR(INDEX('Intervals'!$B$4:$B$33,MATCH($B766,'Intervals'!$A$4:$A$33,0)),""))</f>
        <v/>
      </c>
      <c r="D766" s="17" t="n"/>
      <c r="E766" s="18" t="n"/>
      <c r="F766" s="19">
        <f>IF(OR($B766="",$E766=""),"",IFERROR(IF(AND(INDEX('Intervals'!$G$4:$G$33,MATCH($B766,'Intervals'!$A$4:$A$33,0))&lt;&gt;"No",N(INDEX('Intervals'!$C$4:$C$33,MATCH($B766,'Intervals'!$A$4:$A$33,0)))&gt;0),$E766+N(INDEX('Intervals'!$C$4:$C$33,MATCH($B766,'Intervals'!$A$4:$A$33,0))),""),""))</f>
        <v/>
      </c>
      <c r="G766" s="20">
        <f>IF(OR($B766="",$D766=""),"",IFERROR(IF(AND(INDEX('Intervals'!$G$4:$G$33,MATCH($B766,'Intervals'!$A$4:$A$33,0))&lt;&gt;"No",N(INDEX('Intervals'!$D$4:$D$33,MATCH($B766,'Intervals'!$A$4:$A$33,0)))&gt;0),EDATE($D766,N(INDEX('Intervals'!$D$4:$D$33,MATCH($B766,'Intervals'!$A$4:$A$33,0)))),""),""))</f>
        <v/>
      </c>
      <c r="H766" s="19">
        <f>IF($A766="","",IFERROR(IF(N(INDEX('Cars'!$H$4:$H$103,MATCH($A766,'Cars'!$A$4:$A$103,0)))&gt;0,INDEX('Cars'!$H$4:$H$103,MATCH($A766,'Cars'!$A$4:$A$103,0)),""),""))</f>
        <v/>
      </c>
      <c r="I766" s="19">
        <f>IF(OR($F766="",$H766=""),"",$F766-$H766)</f>
        <v/>
      </c>
      <c r="J766" s="21">
        <f>IF($G766="","",$G766-TODAY())</f>
        <v/>
      </c>
      <c r="K766" s="21">
        <f>IF($I766="","",IFERROR(IF(N(INDEX('Cars'!$J$4:$J$103,MATCH($A766,'Cars'!$A$4:$A$103,0)))&gt;0,ROUND($I766/INDEX('Cars'!$J$4:$J$103,MATCH($A766,'Cars'!$A$4:$A$103,0))*30,0),""),""))</f>
        <v/>
      </c>
      <c r="L766" s="21">
        <f>IF(AND($J766="",$K766=""),"",MIN(IF($J766="",99999,$J766),IF($K766="",99999,$K766)))</f>
        <v/>
      </c>
      <c r="M766" s="16">
        <f>IF(AND($I766="",$J766=""),"",IF(OR(AND($I766&lt;&gt;"",N($I766)&lt;0),AND($J766&lt;&gt;"",N($J766)&lt;0)),"Overdue",IF(OR(AND($I766&lt;&gt;"",N($I766)&lt;=IFERROR(INDEX('Intervals'!$E$4:$E$33,MATCH($B766,'Intervals'!$A$4:$A$33,0)),500)),AND($J766&lt;&gt;"",N($J766)&lt;=IFERROR(INDEX('Intervals'!$F$4:$F$33,MATCH($B766,'Intervals'!$A$4:$A$33,0)),14))),"Due soon","OK")))</f>
        <v/>
      </c>
      <c r="N766" s="15" t="n"/>
      <c r="O766" s="22">
        <f>IF(OR($M766="",$M766="OK"),"",$L766+ROW()/100000)</f>
        <v/>
      </c>
    </row>
    <row r="767">
      <c r="A767" s="15" t="n"/>
      <c r="B767" s="15" t="n"/>
      <c r="C767" s="16">
        <f>IF($B767="","",IFERROR(INDEX('Intervals'!$B$4:$B$33,MATCH($B767,'Intervals'!$A$4:$A$33,0)),""))</f>
        <v/>
      </c>
      <c r="D767" s="17" t="n"/>
      <c r="E767" s="18" t="n"/>
      <c r="F767" s="19">
        <f>IF(OR($B767="",$E767=""),"",IFERROR(IF(AND(INDEX('Intervals'!$G$4:$G$33,MATCH($B767,'Intervals'!$A$4:$A$33,0))&lt;&gt;"No",N(INDEX('Intervals'!$C$4:$C$33,MATCH($B767,'Intervals'!$A$4:$A$33,0)))&gt;0),$E767+N(INDEX('Intervals'!$C$4:$C$33,MATCH($B767,'Intervals'!$A$4:$A$33,0))),""),""))</f>
        <v/>
      </c>
      <c r="G767" s="20">
        <f>IF(OR($B767="",$D767=""),"",IFERROR(IF(AND(INDEX('Intervals'!$G$4:$G$33,MATCH($B767,'Intervals'!$A$4:$A$33,0))&lt;&gt;"No",N(INDEX('Intervals'!$D$4:$D$33,MATCH($B767,'Intervals'!$A$4:$A$33,0)))&gt;0),EDATE($D767,N(INDEX('Intervals'!$D$4:$D$33,MATCH($B767,'Intervals'!$A$4:$A$33,0)))),""),""))</f>
        <v/>
      </c>
      <c r="H767" s="19">
        <f>IF($A767="","",IFERROR(IF(N(INDEX('Cars'!$H$4:$H$103,MATCH($A767,'Cars'!$A$4:$A$103,0)))&gt;0,INDEX('Cars'!$H$4:$H$103,MATCH($A767,'Cars'!$A$4:$A$103,0)),""),""))</f>
        <v/>
      </c>
      <c r="I767" s="19">
        <f>IF(OR($F767="",$H767=""),"",$F767-$H767)</f>
        <v/>
      </c>
      <c r="J767" s="21">
        <f>IF($G767="","",$G767-TODAY())</f>
        <v/>
      </c>
      <c r="K767" s="21">
        <f>IF($I767="","",IFERROR(IF(N(INDEX('Cars'!$J$4:$J$103,MATCH($A767,'Cars'!$A$4:$A$103,0)))&gt;0,ROUND($I767/INDEX('Cars'!$J$4:$J$103,MATCH($A767,'Cars'!$A$4:$A$103,0))*30,0),""),""))</f>
        <v/>
      </c>
      <c r="L767" s="21">
        <f>IF(AND($J767="",$K767=""),"",MIN(IF($J767="",99999,$J767),IF($K767="",99999,$K767)))</f>
        <v/>
      </c>
      <c r="M767" s="16">
        <f>IF(AND($I767="",$J767=""),"",IF(OR(AND($I767&lt;&gt;"",N($I767)&lt;0),AND($J767&lt;&gt;"",N($J767)&lt;0)),"Overdue",IF(OR(AND($I767&lt;&gt;"",N($I767)&lt;=IFERROR(INDEX('Intervals'!$E$4:$E$33,MATCH($B767,'Intervals'!$A$4:$A$33,0)),500)),AND($J767&lt;&gt;"",N($J767)&lt;=IFERROR(INDEX('Intervals'!$F$4:$F$33,MATCH($B767,'Intervals'!$A$4:$A$33,0)),14))),"Due soon","OK")))</f>
        <v/>
      </c>
      <c r="N767" s="15" t="n"/>
      <c r="O767" s="22">
        <f>IF(OR($M767="",$M767="OK"),"",$L767+ROW()/100000)</f>
        <v/>
      </c>
    </row>
    <row r="768">
      <c r="A768" s="15" t="n"/>
      <c r="B768" s="15" t="n"/>
      <c r="C768" s="16">
        <f>IF($B768="","",IFERROR(INDEX('Intervals'!$B$4:$B$33,MATCH($B768,'Intervals'!$A$4:$A$33,0)),""))</f>
        <v/>
      </c>
      <c r="D768" s="17" t="n"/>
      <c r="E768" s="18" t="n"/>
      <c r="F768" s="19">
        <f>IF(OR($B768="",$E768=""),"",IFERROR(IF(AND(INDEX('Intervals'!$G$4:$G$33,MATCH($B768,'Intervals'!$A$4:$A$33,0))&lt;&gt;"No",N(INDEX('Intervals'!$C$4:$C$33,MATCH($B768,'Intervals'!$A$4:$A$33,0)))&gt;0),$E768+N(INDEX('Intervals'!$C$4:$C$33,MATCH($B768,'Intervals'!$A$4:$A$33,0))),""),""))</f>
        <v/>
      </c>
      <c r="G768" s="20">
        <f>IF(OR($B768="",$D768=""),"",IFERROR(IF(AND(INDEX('Intervals'!$G$4:$G$33,MATCH($B768,'Intervals'!$A$4:$A$33,0))&lt;&gt;"No",N(INDEX('Intervals'!$D$4:$D$33,MATCH($B768,'Intervals'!$A$4:$A$33,0)))&gt;0),EDATE($D768,N(INDEX('Intervals'!$D$4:$D$33,MATCH($B768,'Intervals'!$A$4:$A$33,0)))),""),""))</f>
        <v/>
      </c>
      <c r="H768" s="19">
        <f>IF($A768="","",IFERROR(IF(N(INDEX('Cars'!$H$4:$H$103,MATCH($A768,'Cars'!$A$4:$A$103,0)))&gt;0,INDEX('Cars'!$H$4:$H$103,MATCH($A768,'Cars'!$A$4:$A$103,0)),""),""))</f>
        <v/>
      </c>
      <c r="I768" s="19">
        <f>IF(OR($F768="",$H768=""),"",$F768-$H768)</f>
        <v/>
      </c>
      <c r="J768" s="21">
        <f>IF($G768="","",$G768-TODAY())</f>
        <v/>
      </c>
      <c r="K768" s="21">
        <f>IF($I768="","",IFERROR(IF(N(INDEX('Cars'!$J$4:$J$103,MATCH($A768,'Cars'!$A$4:$A$103,0)))&gt;0,ROUND($I768/INDEX('Cars'!$J$4:$J$103,MATCH($A768,'Cars'!$A$4:$A$103,0))*30,0),""),""))</f>
        <v/>
      </c>
      <c r="L768" s="21">
        <f>IF(AND($J768="",$K768=""),"",MIN(IF($J768="",99999,$J768),IF($K768="",99999,$K768)))</f>
        <v/>
      </c>
      <c r="M768" s="16">
        <f>IF(AND($I768="",$J768=""),"",IF(OR(AND($I768&lt;&gt;"",N($I768)&lt;0),AND($J768&lt;&gt;"",N($J768)&lt;0)),"Overdue",IF(OR(AND($I768&lt;&gt;"",N($I768)&lt;=IFERROR(INDEX('Intervals'!$E$4:$E$33,MATCH($B768,'Intervals'!$A$4:$A$33,0)),500)),AND($J768&lt;&gt;"",N($J768)&lt;=IFERROR(INDEX('Intervals'!$F$4:$F$33,MATCH($B768,'Intervals'!$A$4:$A$33,0)),14))),"Due soon","OK")))</f>
        <v/>
      </c>
      <c r="N768" s="15" t="n"/>
      <c r="O768" s="22">
        <f>IF(OR($M768="",$M768="OK"),"",$L768+ROW()/100000)</f>
        <v/>
      </c>
    </row>
    <row r="769">
      <c r="A769" s="15" t="n"/>
      <c r="B769" s="15" t="n"/>
      <c r="C769" s="16">
        <f>IF($B769="","",IFERROR(INDEX('Intervals'!$B$4:$B$33,MATCH($B769,'Intervals'!$A$4:$A$33,0)),""))</f>
        <v/>
      </c>
      <c r="D769" s="17" t="n"/>
      <c r="E769" s="18" t="n"/>
      <c r="F769" s="19">
        <f>IF(OR($B769="",$E769=""),"",IFERROR(IF(AND(INDEX('Intervals'!$G$4:$G$33,MATCH($B769,'Intervals'!$A$4:$A$33,0))&lt;&gt;"No",N(INDEX('Intervals'!$C$4:$C$33,MATCH($B769,'Intervals'!$A$4:$A$33,0)))&gt;0),$E769+N(INDEX('Intervals'!$C$4:$C$33,MATCH($B769,'Intervals'!$A$4:$A$33,0))),""),""))</f>
        <v/>
      </c>
      <c r="G769" s="20">
        <f>IF(OR($B769="",$D769=""),"",IFERROR(IF(AND(INDEX('Intervals'!$G$4:$G$33,MATCH($B769,'Intervals'!$A$4:$A$33,0))&lt;&gt;"No",N(INDEX('Intervals'!$D$4:$D$33,MATCH($B769,'Intervals'!$A$4:$A$33,0)))&gt;0),EDATE($D769,N(INDEX('Intervals'!$D$4:$D$33,MATCH($B769,'Intervals'!$A$4:$A$33,0)))),""),""))</f>
        <v/>
      </c>
      <c r="H769" s="19">
        <f>IF($A769="","",IFERROR(IF(N(INDEX('Cars'!$H$4:$H$103,MATCH($A769,'Cars'!$A$4:$A$103,0)))&gt;0,INDEX('Cars'!$H$4:$H$103,MATCH($A769,'Cars'!$A$4:$A$103,0)),""),""))</f>
        <v/>
      </c>
      <c r="I769" s="19">
        <f>IF(OR($F769="",$H769=""),"",$F769-$H769)</f>
        <v/>
      </c>
      <c r="J769" s="21">
        <f>IF($G769="","",$G769-TODAY())</f>
        <v/>
      </c>
      <c r="K769" s="21">
        <f>IF($I769="","",IFERROR(IF(N(INDEX('Cars'!$J$4:$J$103,MATCH($A769,'Cars'!$A$4:$A$103,0)))&gt;0,ROUND($I769/INDEX('Cars'!$J$4:$J$103,MATCH($A769,'Cars'!$A$4:$A$103,0))*30,0),""),""))</f>
        <v/>
      </c>
      <c r="L769" s="21">
        <f>IF(AND($J769="",$K769=""),"",MIN(IF($J769="",99999,$J769),IF($K769="",99999,$K769)))</f>
        <v/>
      </c>
      <c r="M769" s="16">
        <f>IF(AND($I769="",$J769=""),"",IF(OR(AND($I769&lt;&gt;"",N($I769)&lt;0),AND($J769&lt;&gt;"",N($J769)&lt;0)),"Overdue",IF(OR(AND($I769&lt;&gt;"",N($I769)&lt;=IFERROR(INDEX('Intervals'!$E$4:$E$33,MATCH($B769,'Intervals'!$A$4:$A$33,0)),500)),AND($J769&lt;&gt;"",N($J769)&lt;=IFERROR(INDEX('Intervals'!$F$4:$F$33,MATCH($B769,'Intervals'!$A$4:$A$33,0)),14))),"Due soon","OK")))</f>
        <v/>
      </c>
      <c r="N769" s="15" t="n"/>
      <c r="O769" s="22">
        <f>IF(OR($M769="",$M769="OK"),"",$L769+ROW()/100000)</f>
        <v/>
      </c>
    </row>
    <row r="770">
      <c r="A770" s="15" t="n"/>
      <c r="B770" s="15" t="n"/>
      <c r="C770" s="16">
        <f>IF($B770="","",IFERROR(INDEX('Intervals'!$B$4:$B$33,MATCH($B770,'Intervals'!$A$4:$A$33,0)),""))</f>
        <v/>
      </c>
      <c r="D770" s="17" t="n"/>
      <c r="E770" s="18" t="n"/>
      <c r="F770" s="19">
        <f>IF(OR($B770="",$E770=""),"",IFERROR(IF(AND(INDEX('Intervals'!$G$4:$G$33,MATCH($B770,'Intervals'!$A$4:$A$33,0))&lt;&gt;"No",N(INDEX('Intervals'!$C$4:$C$33,MATCH($B770,'Intervals'!$A$4:$A$33,0)))&gt;0),$E770+N(INDEX('Intervals'!$C$4:$C$33,MATCH($B770,'Intervals'!$A$4:$A$33,0))),""),""))</f>
        <v/>
      </c>
      <c r="G770" s="20">
        <f>IF(OR($B770="",$D770=""),"",IFERROR(IF(AND(INDEX('Intervals'!$G$4:$G$33,MATCH($B770,'Intervals'!$A$4:$A$33,0))&lt;&gt;"No",N(INDEX('Intervals'!$D$4:$D$33,MATCH($B770,'Intervals'!$A$4:$A$33,0)))&gt;0),EDATE($D770,N(INDEX('Intervals'!$D$4:$D$33,MATCH($B770,'Intervals'!$A$4:$A$33,0)))),""),""))</f>
        <v/>
      </c>
      <c r="H770" s="19">
        <f>IF($A770="","",IFERROR(IF(N(INDEX('Cars'!$H$4:$H$103,MATCH($A770,'Cars'!$A$4:$A$103,0)))&gt;0,INDEX('Cars'!$H$4:$H$103,MATCH($A770,'Cars'!$A$4:$A$103,0)),""),""))</f>
        <v/>
      </c>
      <c r="I770" s="19">
        <f>IF(OR($F770="",$H770=""),"",$F770-$H770)</f>
        <v/>
      </c>
      <c r="J770" s="21">
        <f>IF($G770="","",$G770-TODAY())</f>
        <v/>
      </c>
      <c r="K770" s="21">
        <f>IF($I770="","",IFERROR(IF(N(INDEX('Cars'!$J$4:$J$103,MATCH($A770,'Cars'!$A$4:$A$103,0)))&gt;0,ROUND($I770/INDEX('Cars'!$J$4:$J$103,MATCH($A770,'Cars'!$A$4:$A$103,0))*30,0),""),""))</f>
        <v/>
      </c>
      <c r="L770" s="21">
        <f>IF(AND($J770="",$K770=""),"",MIN(IF($J770="",99999,$J770),IF($K770="",99999,$K770)))</f>
        <v/>
      </c>
      <c r="M770" s="16">
        <f>IF(AND($I770="",$J770=""),"",IF(OR(AND($I770&lt;&gt;"",N($I770)&lt;0),AND($J770&lt;&gt;"",N($J770)&lt;0)),"Overdue",IF(OR(AND($I770&lt;&gt;"",N($I770)&lt;=IFERROR(INDEX('Intervals'!$E$4:$E$33,MATCH($B770,'Intervals'!$A$4:$A$33,0)),500)),AND($J770&lt;&gt;"",N($J770)&lt;=IFERROR(INDEX('Intervals'!$F$4:$F$33,MATCH($B770,'Intervals'!$A$4:$A$33,0)),14))),"Due soon","OK")))</f>
        <v/>
      </c>
      <c r="N770" s="15" t="n"/>
      <c r="O770" s="22">
        <f>IF(OR($M770="",$M770="OK"),"",$L770+ROW()/100000)</f>
        <v/>
      </c>
    </row>
    <row r="771">
      <c r="A771" s="15" t="n"/>
      <c r="B771" s="15" t="n"/>
      <c r="C771" s="16">
        <f>IF($B771="","",IFERROR(INDEX('Intervals'!$B$4:$B$33,MATCH($B771,'Intervals'!$A$4:$A$33,0)),""))</f>
        <v/>
      </c>
      <c r="D771" s="17" t="n"/>
      <c r="E771" s="18" t="n"/>
      <c r="F771" s="19">
        <f>IF(OR($B771="",$E771=""),"",IFERROR(IF(AND(INDEX('Intervals'!$G$4:$G$33,MATCH($B771,'Intervals'!$A$4:$A$33,0))&lt;&gt;"No",N(INDEX('Intervals'!$C$4:$C$33,MATCH($B771,'Intervals'!$A$4:$A$33,0)))&gt;0),$E771+N(INDEX('Intervals'!$C$4:$C$33,MATCH($B771,'Intervals'!$A$4:$A$33,0))),""),""))</f>
        <v/>
      </c>
      <c r="G771" s="20">
        <f>IF(OR($B771="",$D771=""),"",IFERROR(IF(AND(INDEX('Intervals'!$G$4:$G$33,MATCH($B771,'Intervals'!$A$4:$A$33,0))&lt;&gt;"No",N(INDEX('Intervals'!$D$4:$D$33,MATCH($B771,'Intervals'!$A$4:$A$33,0)))&gt;0),EDATE($D771,N(INDEX('Intervals'!$D$4:$D$33,MATCH($B771,'Intervals'!$A$4:$A$33,0)))),""),""))</f>
        <v/>
      </c>
      <c r="H771" s="19">
        <f>IF($A771="","",IFERROR(IF(N(INDEX('Cars'!$H$4:$H$103,MATCH($A771,'Cars'!$A$4:$A$103,0)))&gt;0,INDEX('Cars'!$H$4:$H$103,MATCH($A771,'Cars'!$A$4:$A$103,0)),""),""))</f>
        <v/>
      </c>
      <c r="I771" s="19">
        <f>IF(OR($F771="",$H771=""),"",$F771-$H771)</f>
        <v/>
      </c>
      <c r="J771" s="21">
        <f>IF($G771="","",$G771-TODAY())</f>
        <v/>
      </c>
      <c r="K771" s="21">
        <f>IF($I771="","",IFERROR(IF(N(INDEX('Cars'!$J$4:$J$103,MATCH($A771,'Cars'!$A$4:$A$103,0)))&gt;0,ROUND($I771/INDEX('Cars'!$J$4:$J$103,MATCH($A771,'Cars'!$A$4:$A$103,0))*30,0),""),""))</f>
        <v/>
      </c>
      <c r="L771" s="21">
        <f>IF(AND($J771="",$K771=""),"",MIN(IF($J771="",99999,$J771),IF($K771="",99999,$K771)))</f>
        <v/>
      </c>
      <c r="M771" s="16">
        <f>IF(AND($I771="",$J771=""),"",IF(OR(AND($I771&lt;&gt;"",N($I771)&lt;0),AND($J771&lt;&gt;"",N($J771)&lt;0)),"Overdue",IF(OR(AND($I771&lt;&gt;"",N($I771)&lt;=IFERROR(INDEX('Intervals'!$E$4:$E$33,MATCH($B771,'Intervals'!$A$4:$A$33,0)),500)),AND($J771&lt;&gt;"",N($J771)&lt;=IFERROR(INDEX('Intervals'!$F$4:$F$33,MATCH($B771,'Intervals'!$A$4:$A$33,0)),14))),"Due soon","OK")))</f>
        <v/>
      </c>
      <c r="N771" s="15" t="n"/>
      <c r="O771" s="22">
        <f>IF(OR($M771="",$M771="OK"),"",$L771+ROW()/100000)</f>
        <v/>
      </c>
    </row>
    <row r="772">
      <c r="A772" s="15" t="n"/>
      <c r="B772" s="15" t="n"/>
      <c r="C772" s="16">
        <f>IF($B772="","",IFERROR(INDEX('Intervals'!$B$4:$B$33,MATCH($B772,'Intervals'!$A$4:$A$33,0)),""))</f>
        <v/>
      </c>
      <c r="D772" s="17" t="n"/>
      <c r="E772" s="18" t="n"/>
      <c r="F772" s="19">
        <f>IF(OR($B772="",$E772=""),"",IFERROR(IF(AND(INDEX('Intervals'!$G$4:$G$33,MATCH($B772,'Intervals'!$A$4:$A$33,0))&lt;&gt;"No",N(INDEX('Intervals'!$C$4:$C$33,MATCH($B772,'Intervals'!$A$4:$A$33,0)))&gt;0),$E772+N(INDEX('Intervals'!$C$4:$C$33,MATCH($B772,'Intervals'!$A$4:$A$33,0))),""),""))</f>
        <v/>
      </c>
      <c r="G772" s="20">
        <f>IF(OR($B772="",$D772=""),"",IFERROR(IF(AND(INDEX('Intervals'!$G$4:$G$33,MATCH($B772,'Intervals'!$A$4:$A$33,0))&lt;&gt;"No",N(INDEX('Intervals'!$D$4:$D$33,MATCH($B772,'Intervals'!$A$4:$A$33,0)))&gt;0),EDATE($D772,N(INDEX('Intervals'!$D$4:$D$33,MATCH($B772,'Intervals'!$A$4:$A$33,0)))),""),""))</f>
        <v/>
      </c>
      <c r="H772" s="19">
        <f>IF($A772="","",IFERROR(IF(N(INDEX('Cars'!$H$4:$H$103,MATCH($A772,'Cars'!$A$4:$A$103,0)))&gt;0,INDEX('Cars'!$H$4:$H$103,MATCH($A772,'Cars'!$A$4:$A$103,0)),""),""))</f>
        <v/>
      </c>
      <c r="I772" s="19">
        <f>IF(OR($F772="",$H772=""),"",$F772-$H772)</f>
        <v/>
      </c>
      <c r="J772" s="21">
        <f>IF($G772="","",$G772-TODAY())</f>
        <v/>
      </c>
      <c r="K772" s="21">
        <f>IF($I772="","",IFERROR(IF(N(INDEX('Cars'!$J$4:$J$103,MATCH($A772,'Cars'!$A$4:$A$103,0)))&gt;0,ROUND($I772/INDEX('Cars'!$J$4:$J$103,MATCH($A772,'Cars'!$A$4:$A$103,0))*30,0),""),""))</f>
        <v/>
      </c>
      <c r="L772" s="21">
        <f>IF(AND($J772="",$K772=""),"",MIN(IF($J772="",99999,$J772),IF($K772="",99999,$K772)))</f>
        <v/>
      </c>
      <c r="M772" s="16">
        <f>IF(AND($I772="",$J772=""),"",IF(OR(AND($I772&lt;&gt;"",N($I772)&lt;0),AND($J772&lt;&gt;"",N($J772)&lt;0)),"Overdue",IF(OR(AND($I772&lt;&gt;"",N($I772)&lt;=IFERROR(INDEX('Intervals'!$E$4:$E$33,MATCH($B772,'Intervals'!$A$4:$A$33,0)),500)),AND($J772&lt;&gt;"",N($J772)&lt;=IFERROR(INDEX('Intervals'!$F$4:$F$33,MATCH($B772,'Intervals'!$A$4:$A$33,0)),14))),"Due soon","OK")))</f>
        <v/>
      </c>
      <c r="N772" s="15" t="n"/>
      <c r="O772" s="22">
        <f>IF(OR($M772="",$M772="OK"),"",$L772+ROW()/100000)</f>
        <v/>
      </c>
    </row>
    <row r="773">
      <c r="A773" s="15" t="n"/>
      <c r="B773" s="15" t="n"/>
      <c r="C773" s="16">
        <f>IF($B773="","",IFERROR(INDEX('Intervals'!$B$4:$B$33,MATCH($B773,'Intervals'!$A$4:$A$33,0)),""))</f>
        <v/>
      </c>
      <c r="D773" s="17" t="n"/>
      <c r="E773" s="18" t="n"/>
      <c r="F773" s="19">
        <f>IF(OR($B773="",$E773=""),"",IFERROR(IF(AND(INDEX('Intervals'!$G$4:$G$33,MATCH($B773,'Intervals'!$A$4:$A$33,0))&lt;&gt;"No",N(INDEX('Intervals'!$C$4:$C$33,MATCH($B773,'Intervals'!$A$4:$A$33,0)))&gt;0),$E773+N(INDEX('Intervals'!$C$4:$C$33,MATCH($B773,'Intervals'!$A$4:$A$33,0))),""),""))</f>
        <v/>
      </c>
      <c r="G773" s="20">
        <f>IF(OR($B773="",$D773=""),"",IFERROR(IF(AND(INDEX('Intervals'!$G$4:$G$33,MATCH($B773,'Intervals'!$A$4:$A$33,0))&lt;&gt;"No",N(INDEX('Intervals'!$D$4:$D$33,MATCH($B773,'Intervals'!$A$4:$A$33,0)))&gt;0),EDATE($D773,N(INDEX('Intervals'!$D$4:$D$33,MATCH($B773,'Intervals'!$A$4:$A$33,0)))),""),""))</f>
        <v/>
      </c>
      <c r="H773" s="19">
        <f>IF($A773="","",IFERROR(IF(N(INDEX('Cars'!$H$4:$H$103,MATCH($A773,'Cars'!$A$4:$A$103,0)))&gt;0,INDEX('Cars'!$H$4:$H$103,MATCH($A773,'Cars'!$A$4:$A$103,0)),""),""))</f>
        <v/>
      </c>
      <c r="I773" s="19">
        <f>IF(OR($F773="",$H773=""),"",$F773-$H773)</f>
        <v/>
      </c>
      <c r="J773" s="21">
        <f>IF($G773="","",$G773-TODAY())</f>
        <v/>
      </c>
      <c r="K773" s="21">
        <f>IF($I773="","",IFERROR(IF(N(INDEX('Cars'!$J$4:$J$103,MATCH($A773,'Cars'!$A$4:$A$103,0)))&gt;0,ROUND($I773/INDEX('Cars'!$J$4:$J$103,MATCH($A773,'Cars'!$A$4:$A$103,0))*30,0),""),""))</f>
        <v/>
      </c>
      <c r="L773" s="21">
        <f>IF(AND($J773="",$K773=""),"",MIN(IF($J773="",99999,$J773),IF($K773="",99999,$K773)))</f>
        <v/>
      </c>
      <c r="M773" s="16">
        <f>IF(AND($I773="",$J773=""),"",IF(OR(AND($I773&lt;&gt;"",N($I773)&lt;0),AND($J773&lt;&gt;"",N($J773)&lt;0)),"Overdue",IF(OR(AND($I773&lt;&gt;"",N($I773)&lt;=IFERROR(INDEX('Intervals'!$E$4:$E$33,MATCH($B773,'Intervals'!$A$4:$A$33,0)),500)),AND($J773&lt;&gt;"",N($J773)&lt;=IFERROR(INDEX('Intervals'!$F$4:$F$33,MATCH($B773,'Intervals'!$A$4:$A$33,0)),14))),"Due soon","OK")))</f>
        <v/>
      </c>
      <c r="N773" s="15" t="n"/>
      <c r="O773" s="22">
        <f>IF(OR($M773="",$M773="OK"),"",$L773+ROW()/100000)</f>
        <v/>
      </c>
    </row>
    <row r="774">
      <c r="A774" s="15" t="n"/>
      <c r="B774" s="15" t="n"/>
      <c r="C774" s="16">
        <f>IF($B774="","",IFERROR(INDEX('Intervals'!$B$4:$B$33,MATCH($B774,'Intervals'!$A$4:$A$33,0)),""))</f>
        <v/>
      </c>
      <c r="D774" s="17" t="n"/>
      <c r="E774" s="18" t="n"/>
      <c r="F774" s="19">
        <f>IF(OR($B774="",$E774=""),"",IFERROR(IF(AND(INDEX('Intervals'!$G$4:$G$33,MATCH($B774,'Intervals'!$A$4:$A$33,0))&lt;&gt;"No",N(INDEX('Intervals'!$C$4:$C$33,MATCH($B774,'Intervals'!$A$4:$A$33,0)))&gt;0),$E774+N(INDEX('Intervals'!$C$4:$C$33,MATCH($B774,'Intervals'!$A$4:$A$33,0))),""),""))</f>
        <v/>
      </c>
      <c r="G774" s="20">
        <f>IF(OR($B774="",$D774=""),"",IFERROR(IF(AND(INDEX('Intervals'!$G$4:$G$33,MATCH($B774,'Intervals'!$A$4:$A$33,0))&lt;&gt;"No",N(INDEX('Intervals'!$D$4:$D$33,MATCH($B774,'Intervals'!$A$4:$A$33,0)))&gt;0),EDATE($D774,N(INDEX('Intervals'!$D$4:$D$33,MATCH($B774,'Intervals'!$A$4:$A$33,0)))),""),""))</f>
        <v/>
      </c>
      <c r="H774" s="19">
        <f>IF($A774="","",IFERROR(IF(N(INDEX('Cars'!$H$4:$H$103,MATCH($A774,'Cars'!$A$4:$A$103,0)))&gt;0,INDEX('Cars'!$H$4:$H$103,MATCH($A774,'Cars'!$A$4:$A$103,0)),""),""))</f>
        <v/>
      </c>
      <c r="I774" s="19">
        <f>IF(OR($F774="",$H774=""),"",$F774-$H774)</f>
        <v/>
      </c>
      <c r="J774" s="21">
        <f>IF($G774="","",$G774-TODAY())</f>
        <v/>
      </c>
      <c r="K774" s="21">
        <f>IF($I774="","",IFERROR(IF(N(INDEX('Cars'!$J$4:$J$103,MATCH($A774,'Cars'!$A$4:$A$103,0)))&gt;0,ROUND($I774/INDEX('Cars'!$J$4:$J$103,MATCH($A774,'Cars'!$A$4:$A$103,0))*30,0),""),""))</f>
        <v/>
      </c>
      <c r="L774" s="21">
        <f>IF(AND($J774="",$K774=""),"",MIN(IF($J774="",99999,$J774),IF($K774="",99999,$K774)))</f>
        <v/>
      </c>
      <c r="M774" s="16">
        <f>IF(AND($I774="",$J774=""),"",IF(OR(AND($I774&lt;&gt;"",N($I774)&lt;0),AND($J774&lt;&gt;"",N($J774)&lt;0)),"Overdue",IF(OR(AND($I774&lt;&gt;"",N($I774)&lt;=IFERROR(INDEX('Intervals'!$E$4:$E$33,MATCH($B774,'Intervals'!$A$4:$A$33,0)),500)),AND($J774&lt;&gt;"",N($J774)&lt;=IFERROR(INDEX('Intervals'!$F$4:$F$33,MATCH($B774,'Intervals'!$A$4:$A$33,0)),14))),"Due soon","OK")))</f>
        <v/>
      </c>
      <c r="N774" s="15" t="n"/>
      <c r="O774" s="22">
        <f>IF(OR($M774="",$M774="OK"),"",$L774+ROW()/100000)</f>
        <v/>
      </c>
    </row>
    <row r="775">
      <c r="A775" s="15" t="n"/>
      <c r="B775" s="15" t="n"/>
      <c r="C775" s="16">
        <f>IF($B775="","",IFERROR(INDEX('Intervals'!$B$4:$B$33,MATCH($B775,'Intervals'!$A$4:$A$33,0)),""))</f>
        <v/>
      </c>
      <c r="D775" s="17" t="n"/>
      <c r="E775" s="18" t="n"/>
      <c r="F775" s="19">
        <f>IF(OR($B775="",$E775=""),"",IFERROR(IF(AND(INDEX('Intervals'!$G$4:$G$33,MATCH($B775,'Intervals'!$A$4:$A$33,0))&lt;&gt;"No",N(INDEX('Intervals'!$C$4:$C$33,MATCH($B775,'Intervals'!$A$4:$A$33,0)))&gt;0),$E775+N(INDEX('Intervals'!$C$4:$C$33,MATCH($B775,'Intervals'!$A$4:$A$33,0))),""),""))</f>
        <v/>
      </c>
      <c r="G775" s="20">
        <f>IF(OR($B775="",$D775=""),"",IFERROR(IF(AND(INDEX('Intervals'!$G$4:$G$33,MATCH($B775,'Intervals'!$A$4:$A$33,0))&lt;&gt;"No",N(INDEX('Intervals'!$D$4:$D$33,MATCH($B775,'Intervals'!$A$4:$A$33,0)))&gt;0),EDATE($D775,N(INDEX('Intervals'!$D$4:$D$33,MATCH($B775,'Intervals'!$A$4:$A$33,0)))),""),""))</f>
        <v/>
      </c>
      <c r="H775" s="19">
        <f>IF($A775="","",IFERROR(IF(N(INDEX('Cars'!$H$4:$H$103,MATCH($A775,'Cars'!$A$4:$A$103,0)))&gt;0,INDEX('Cars'!$H$4:$H$103,MATCH($A775,'Cars'!$A$4:$A$103,0)),""),""))</f>
        <v/>
      </c>
      <c r="I775" s="19">
        <f>IF(OR($F775="",$H775=""),"",$F775-$H775)</f>
        <v/>
      </c>
      <c r="J775" s="21">
        <f>IF($G775="","",$G775-TODAY())</f>
        <v/>
      </c>
      <c r="K775" s="21">
        <f>IF($I775="","",IFERROR(IF(N(INDEX('Cars'!$J$4:$J$103,MATCH($A775,'Cars'!$A$4:$A$103,0)))&gt;0,ROUND($I775/INDEX('Cars'!$J$4:$J$103,MATCH($A775,'Cars'!$A$4:$A$103,0))*30,0),""),""))</f>
        <v/>
      </c>
      <c r="L775" s="21">
        <f>IF(AND($J775="",$K775=""),"",MIN(IF($J775="",99999,$J775),IF($K775="",99999,$K775)))</f>
        <v/>
      </c>
      <c r="M775" s="16">
        <f>IF(AND($I775="",$J775=""),"",IF(OR(AND($I775&lt;&gt;"",N($I775)&lt;0),AND($J775&lt;&gt;"",N($J775)&lt;0)),"Overdue",IF(OR(AND($I775&lt;&gt;"",N($I775)&lt;=IFERROR(INDEX('Intervals'!$E$4:$E$33,MATCH($B775,'Intervals'!$A$4:$A$33,0)),500)),AND($J775&lt;&gt;"",N($J775)&lt;=IFERROR(INDEX('Intervals'!$F$4:$F$33,MATCH($B775,'Intervals'!$A$4:$A$33,0)),14))),"Due soon","OK")))</f>
        <v/>
      </c>
      <c r="N775" s="15" t="n"/>
      <c r="O775" s="22">
        <f>IF(OR($M775="",$M775="OK"),"",$L775+ROW()/100000)</f>
        <v/>
      </c>
    </row>
    <row r="776">
      <c r="A776" s="15" t="n"/>
      <c r="B776" s="15" t="n"/>
      <c r="C776" s="16">
        <f>IF($B776="","",IFERROR(INDEX('Intervals'!$B$4:$B$33,MATCH($B776,'Intervals'!$A$4:$A$33,0)),""))</f>
        <v/>
      </c>
      <c r="D776" s="17" t="n"/>
      <c r="E776" s="18" t="n"/>
      <c r="F776" s="19">
        <f>IF(OR($B776="",$E776=""),"",IFERROR(IF(AND(INDEX('Intervals'!$G$4:$G$33,MATCH($B776,'Intervals'!$A$4:$A$33,0))&lt;&gt;"No",N(INDEX('Intervals'!$C$4:$C$33,MATCH($B776,'Intervals'!$A$4:$A$33,0)))&gt;0),$E776+N(INDEX('Intervals'!$C$4:$C$33,MATCH($B776,'Intervals'!$A$4:$A$33,0))),""),""))</f>
        <v/>
      </c>
      <c r="G776" s="20">
        <f>IF(OR($B776="",$D776=""),"",IFERROR(IF(AND(INDEX('Intervals'!$G$4:$G$33,MATCH($B776,'Intervals'!$A$4:$A$33,0))&lt;&gt;"No",N(INDEX('Intervals'!$D$4:$D$33,MATCH($B776,'Intervals'!$A$4:$A$33,0)))&gt;0),EDATE($D776,N(INDEX('Intervals'!$D$4:$D$33,MATCH($B776,'Intervals'!$A$4:$A$33,0)))),""),""))</f>
        <v/>
      </c>
      <c r="H776" s="19">
        <f>IF($A776="","",IFERROR(IF(N(INDEX('Cars'!$H$4:$H$103,MATCH($A776,'Cars'!$A$4:$A$103,0)))&gt;0,INDEX('Cars'!$H$4:$H$103,MATCH($A776,'Cars'!$A$4:$A$103,0)),""),""))</f>
        <v/>
      </c>
      <c r="I776" s="19">
        <f>IF(OR($F776="",$H776=""),"",$F776-$H776)</f>
        <v/>
      </c>
      <c r="J776" s="21">
        <f>IF($G776="","",$G776-TODAY())</f>
        <v/>
      </c>
      <c r="K776" s="21">
        <f>IF($I776="","",IFERROR(IF(N(INDEX('Cars'!$J$4:$J$103,MATCH($A776,'Cars'!$A$4:$A$103,0)))&gt;0,ROUND($I776/INDEX('Cars'!$J$4:$J$103,MATCH($A776,'Cars'!$A$4:$A$103,0))*30,0),""),""))</f>
        <v/>
      </c>
      <c r="L776" s="21">
        <f>IF(AND($J776="",$K776=""),"",MIN(IF($J776="",99999,$J776),IF($K776="",99999,$K776)))</f>
        <v/>
      </c>
      <c r="M776" s="16">
        <f>IF(AND($I776="",$J776=""),"",IF(OR(AND($I776&lt;&gt;"",N($I776)&lt;0),AND($J776&lt;&gt;"",N($J776)&lt;0)),"Overdue",IF(OR(AND($I776&lt;&gt;"",N($I776)&lt;=IFERROR(INDEX('Intervals'!$E$4:$E$33,MATCH($B776,'Intervals'!$A$4:$A$33,0)),500)),AND($J776&lt;&gt;"",N($J776)&lt;=IFERROR(INDEX('Intervals'!$F$4:$F$33,MATCH($B776,'Intervals'!$A$4:$A$33,0)),14))),"Due soon","OK")))</f>
        <v/>
      </c>
      <c r="N776" s="15" t="n"/>
      <c r="O776" s="22">
        <f>IF(OR($M776="",$M776="OK"),"",$L776+ROW()/100000)</f>
        <v/>
      </c>
    </row>
    <row r="777">
      <c r="A777" s="15" t="n"/>
      <c r="B777" s="15" t="n"/>
      <c r="C777" s="16">
        <f>IF($B777="","",IFERROR(INDEX('Intervals'!$B$4:$B$33,MATCH($B777,'Intervals'!$A$4:$A$33,0)),""))</f>
        <v/>
      </c>
      <c r="D777" s="17" t="n"/>
      <c r="E777" s="18" t="n"/>
      <c r="F777" s="19">
        <f>IF(OR($B777="",$E777=""),"",IFERROR(IF(AND(INDEX('Intervals'!$G$4:$G$33,MATCH($B777,'Intervals'!$A$4:$A$33,0))&lt;&gt;"No",N(INDEX('Intervals'!$C$4:$C$33,MATCH($B777,'Intervals'!$A$4:$A$33,0)))&gt;0),$E777+N(INDEX('Intervals'!$C$4:$C$33,MATCH($B777,'Intervals'!$A$4:$A$33,0))),""),""))</f>
        <v/>
      </c>
      <c r="G777" s="20">
        <f>IF(OR($B777="",$D777=""),"",IFERROR(IF(AND(INDEX('Intervals'!$G$4:$G$33,MATCH($B777,'Intervals'!$A$4:$A$33,0))&lt;&gt;"No",N(INDEX('Intervals'!$D$4:$D$33,MATCH($B777,'Intervals'!$A$4:$A$33,0)))&gt;0),EDATE($D777,N(INDEX('Intervals'!$D$4:$D$33,MATCH($B777,'Intervals'!$A$4:$A$33,0)))),""),""))</f>
        <v/>
      </c>
      <c r="H777" s="19">
        <f>IF($A777="","",IFERROR(IF(N(INDEX('Cars'!$H$4:$H$103,MATCH($A777,'Cars'!$A$4:$A$103,0)))&gt;0,INDEX('Cars'!$H$4:$H$103,MATCH($A777,'Cars'!$A$4:$A$103,0)),""),""))</f>
        <v/>
      </c>
      <c r="I777" s="19">
        <f>IF(OR($F777="",$H777=""),"",$F777-$H777)</f>
        <v/>
      </c>
      <c r="J777" s="21">
        <f>IF($G777="","",$G777-TODAY())</f>
        <v/>
      </c>
      <c r="K777" s="21">
        <f>IF($I777="","",IFERROR(IF(N(INDEX('Cars'!$J$4:$J$103,MATCH($A777,'Cars'!$A$4:$A$103,0)))&gt;0,ROUND($I777/INDEX('Cars'!$J$4:$J$103,MATCH($A777,'Cars'!$A$4:$A$103,0))*30,0),""),""))</f>
        <v/>
      </c>
      <c r="L777" s="21">
        <f>IF(AND($J777="",$K777=""),"",MIN(IF($J777="",99999,$J777),IF($K777="",99999,$K777)))</f>
        <v/>
      </c>
      <c r="M777" s="16">
        <f>IF(AND($I777="",$J777=""),"",IF(OR(AND($I777&lt;&gt;"",N($I777)&lt;0),AND($J777&lt;&gt;"",N($J777)&lt;0)),"Overdue",IF(OR(AND($I777&lt;&gt;"",N($I777)&lt;=IFERROR(INDEX('Intervals'!$E$4:$E$33,MATCH($B777,'Intervals'!$A$4:$A$33,0)),500)),AND($J777&lt;&gt;"",N($J777)&lt;=IFERROR(INDEX('Intervals'!$F$4:$F$33,MATCH($B777,'Intervals'!$A$4:$A$33,0)),14))),"Due soon","OK")))</f>
        <v/>
      </c>
      <c r="N777" s="15" t="n"/>
      <c r="O777" s="22">
        <f>IF(OR($M777="",$M777="OK"),"",$L777+ROW()/100000)</f>
        <v/>
      </c>
    </row>
    <row r="778">
      <c r="A778" s="15" t="n"/>
      <c r="B778" s="15" t="n"/>
      <c r="C778" s="16">
        <f>IF($B778="","",IFERROR(INDEX('Intervals'!$B$4:$B$33,MATCH($B778,'Intervals'!$A$4:$A$33,0)),""))</f>
        <v/>
      </c>
      <c r="D778" s="17" t="n"/>
      <c r="E778" s="18" t="n"/>
      <c r="F778" s="19">
        <f>IF(OR($B778="",$E778=""),"",IFERROR(IF(AND(INDEX('Intervals'!$G$4:$G$33,MATCH($B778,'Intervals'!$A$4:$A$33,0))&lt;&gt;"No",N(INDEX('Intervals'!$C$4:$C$33,MATCH($B778,'Intervals'!$A$4:$A$33,0)))&gt;0),$E778+N(INDEX('Intervals'!$C$4:$C$33,MATCH($B778,'Intervals'!$A$4:$A$33,0))),""),""))</f>
        <v/>
      </c>
      <c r="G778" s="20">
        <f>IF(OR($B778="",$D778=""),"",IFERROR(IF(AND(INDEX('Intervals'!$G$4:$G$33,MATCH($B778,'Intervals'!$A$4:$A$33,0))&lt;&gt;"No",N(INDEX('Intervals'!$D$4:$D$33,MATCH($B778,'Intervals'!$A$4:$A$33,0)))&gt;0),EDATE($D778,N(INDEX('Intervals'!$D$4:$D$33,MATCH($B778,'Intervals'!$A$4:$A$33,0)))),""),""))</f>
        <v/>
      </c>
      <c r="H778" s="19">
        <f>IF($A778="","",IFERROR(IF(N(INDEX('Cars'!$H$4:$H$103,MATCH($A778,'Cars'!$A$4:$A$103,0)))&gt;0,INDEX('Cars'!$H$4:$H$103,MATCH($A778,'Cars'!$A$4:$A$103,0)),""),""))</f>
        <v/>
      </c>
      <c r="I778" s="19">
        <f>IF(OR($F778="",$H778=""),"",$F778-$H778)</f>
        <v/>
      </c>
      <c r="J778" s="21">
        <f>IF($G778="","",$G778-TODAY())</f>
        <v/>
      </c>
      <c r="K778" s="21">
        <f>IF($I778="","",IFERROR(IF(N(INDEX('Cars'!$J$4:$J$103,MATCH($A778,'Cars'!$A$4:$A$103,0)))&gt;0,ROUND($I778/INDEX('Cars'!$J$4:$J$103,MATCH($A778,'Cars'!$A$4:$A$103,0))*30,0),""),""))</f>
        <v/>
      </c>
      <c r="L778" s="21">
        <f>IF(AND($J778="",$K778=""),"",MIN(IF($J778="",99999,$J778),IF($K778="",99999,$K778)))</f>
        <v/>
      </c>
      <c r="M778" s="16">
        <f>IF(AND($I778="",$J778=""),"",IF(OR(AND($I778&lt;&gt;"",N($I778)&lt;0),AND($J778&lt;&gt;"",N($J778)&lt;0)),"Overdue",IF(OR(AND($I778&lt;&gt;"",N($I778)&lt;=IFERROR(INDEX('Intervals'!$E$4:$E$33,MATCH($B778,'Intervals'!$A$4:$A$33,0)),500)),AND($J778&lt;&gt;"",N($J778)&lt;=IFERROR(INDEX('Intervals'!$F$4:$F$33,MATCH($B778,'Intervals'!$A$4:$A$33,0)),14))),"Due soon","OK")))</f>
        <v/>
      </c>
      <c r="N778" s="15" t="n"/>
      <c r="O778" s="22">
        <f>IF(OR($M778="",$M778="OK"),"",$L778+ROW()/100000)</f>
        <v/>
      </c>
    </row>
    <row r="779">
      <c r="A779" s="15" t="n"/>
      <c r="B779" s="15" t="n"/>
      <c r="C779" s="16">
        <f>IF($B779="","",IFERROR(INDEX('Intervals'!$B$4:$B$33,MATCH($B779,'Intervals'!$A$4:$A$33,0)),""))</f>
        <v/>
      </c>
      <c r="D779" s="17" t="n"/>
      <c r="E779" s="18" t="n"/>
      <c r="F779" s="19">
        <f>IF(OR($B779="",$E779=""),"",IFERROR(IF(AND(INDEX('Intervals'!$G$4:$G$33,MATCH($B779,'Intervals'!$A$4:$A$33,0))&lt;&gt;"No",N(INDEX('Intervals'!$C$4:$C$33,MATCH($B779,'Intervals'!$A$4:$A$33,0)))&gt;0),$E779+N(INDEX('Intervals'!$C$4:$C$33,MATCH($B779,'Intervals'!$A$4:$A$33,0))),""),""))</f>
        <v/>
      </c>
      <c r="G779" s="20">
        <f>IF(OR($B779="",$D779=""),"",IFERROR(IF(AND(INDEX('Intervals'!$G$4:$G$33,MATCH($B779,'Intervals'!$A$4:$A$33,0))&lt;&gt;"No",N(INDEX('Intervals'!$D$4:$D$33,MATCH($B779,'Intervals'!$A$4:$A$33,0)))&gt;0),EDATE($D779,N(INDEX('Intervals'!$D$4:$D$33,MATCH($B779,'Intervals'!$A$4:$A$33,0)))),""),""))</f>
        <v/>
      </c>
      <c r="H779" s="19">
        <f>IF($A779="","",IFERROR(IF(N(INDEX('Cars'!$H$4:$H$103,MATCH($A779,'Cars'!$A$4:$A$103,0)))&gt;0,INDEX('Cars'!$H$4:$H$103,MATCH($A779,'Cars'!$A$4:$A$103,0)),""),""))</f>
        <v/>
      </c>
      <c r="I779" s="19">
        <f>IF(OR($F779="",$H779=""),"",$F779-$H779)</f>
        <v/>
      </c>
      <c r="J779" s="21">
        <f>IF($G779="","",$G779-TODAY())</f>
        <v/>
      </c>
      <c r="K779" s="21">
        <f>IF($I779="","",IFERROR(IF(N(INDEX('Cars'!$J$4:$J$103,MATCH($A779,'Cars'!$A$4:$A$103,0)))&gt;0,ROUND($I779/INDEX('Cars'!$J$4:$J$103,MATCH($A779,'Cars'!$A$4:$A$103,0))*30,0),""),""))</f>
        <v/>
      </c>
      <c r="L779" s="21">
        <f>IF(AND($J779="",$K779=""),"",MIN(IF($J779="",99999,$J779),IF($K779="",99999,$K779)))</f>
        <v/>
      </c>
      <c r="M779" s="16">
        <f>IF(AND($I779="",$J779=""),"",IF(OR(AND($I779&lt;&gt;"",N($I779)&lt;0),AND($J779&lt;&gt;"",N($J779)&lt;0)),"Overdue",IF(OR(AND($I779&lt;&gt;"",N($I779)&lt;=IFERROR(INDEX('Intervals'!$E$4:$E$33,MATCH($B779,'Intervals'!$A$4:$A$33,0)),500)),AND($J779&lt;&gt;"",N($J779)&lt;=IFERROR(INDEX('Intervals'!$F$4:$F$33,MATCH($B779,'Intervals'!$A$4:$A$33,0)),14))),"Due soon","OK")))</f>
        <v/>
      </c>
      <c r="N779" s="15" t="n"/>
      <c r="O779" s="22">
        <f>IF(OR($M779="",$M779="OK"),"",$L779+ROW()/100000)</f>
        <v/>
      </c>
    </row>
    <row r="780">
      <c r="A780" s="15" t="n"/>
      <c r="B780" s="15" t="n"/>
      <c r="C780" s="16">
        <f>IF($B780="","",IFERROR(INDEX('Intervals'!$B$4:$B$33,MATCH($B780,'Intervals'!$A$4:$A$33,0)),""))</f>
        <v/>
      </c>
      <c r="D780" s="17" t="n"/>
      <c r="E780" s="18" t="n"/>
      <c r="F780" s="19">
        <f>IF(OR($B780="",$E780=""),"",IFERROR(IF(AND(INDEX('Intervals'!$G$4:$G$33,MATCH($B780,'Intervals'!$A$4:$A$33,0))&lt;&gt;"No",N(INDEX('Intervals'!$C$4:$C$33,MATCH($B780,'Intervals'!$A$4:$A$33,0)))&gt;0),$E780+N(INDEX('Intervals'!$C$4:$C$33,MATCH($B780,'Intervals'!$A$4:$A$33,0))),""),""))</f>
        <v/>
      </c>
      <c r="G780" s="20">
        <f>IF(OR($B780="",$D780=""),"",IFERROR(IF(AND(INDEX('Intervals'!$G$4:$G$33,MATCH($B780,'Intervals'!$A$4:$A$33,0))&lt;&gt;"No",N(INDEX('Intervals'!$D$4:$D$33,MATCH($B780,'Intervals'!$A$4:$A$33,0)))&gt;0),EDATE($D780,N(INDEX('Intervals'!$D$4:$D$33,MATCH($B780,'Intervals'!$A$4:$A$33,0)))),""),""))</f>
        <v/>
      </c>
      <c r="H780" s="19">
        <f>IF($A780="","",IFERROR(IF(N(INDEX('Cars'!$H$4:$H$103,MATCH($A780,'Cars'!$A$4:$A$103,0)))&gt;0,INDEX('Cars'!$H$4:$H$103,MATCH($A780,'Cars'!$A$4:$A$103,0)),""),""))</f>
        <v/>
      </c>
      <c r="I780" s="19">
        <f>IF(OR($F780="",$H780=""),"",$F780-$H780)</f>
        <v/>
      </c>
      <c r="J780" s="21">
        <f>IF($G780="","",$G780-TODAY())</f>
        <v/>
      </c>
      <c r="K780" s="21">
        <f>IF($I780="","",IFERROR(IF(N(INDEX('Cars'!$J$4:$J$103,MATCH($A780,'Cars'!$A$4:$A$103,0)))&gt;0,ROUND($I780/INDEX('Cars'!$J$4:$J$103,MATCH($A780,'Cars'!$A$4:$A$103,0))*30,0),""),""))</f>
        <v/>
      </c>
      <c r="L780" s="21">
        <f>IF(AND($J780="",$K780=""),"",MIN(IF($J780="",99999,$J780),IF($K780="",99999,$K780)))</f>
        <v/>
      </c>
      <c r="M780" s="16">
        <f>IF(AND($I780="",$J780=""),"",IF(OR(AND($I780&lt;&gt;"",N($I780)&lt;0),AND($J780&lt;&gt;"",N($J780)&lt;0)),"Overdue",IF(OR(AND($I780&lt;&gt;"",N($I780)&lt;=IFERROR(INDEX('Intervals'!$E$4:$E$33,MATCH($B780,'Intervals'!$A$4:$A$33,0)),500)),AND($J780&lt;&gt;"",N($J780)&lt;=IFERROR(INDEX('Intervals'!$F$4:$F$33,MATCH($B780,'Intervals'!$A$4:$A$33,0)),14))),"Due soon","OK")))</f>
        <v/>
      </c>
      <c r="N780" s="15" t="n"/>
      <c r="O780" s="22">
        <f>IF(OR($M780="",$M780="OK"),"",$L780+ROW()/100000)</f>
        <v/>
      </c>
    </row>
    <row r="781">
      <c r="A781" s="15" t="n"/>
      <c r="B781" s="15" t="n"/>
      <c r="C781" s="16">
        <f>IF($B781="","",IFERROR(INDEX('Intervals'!$B$4:$B$33,MATCH($B781,'Intervals'!$A$4:$A$33,0)),""))</f>
        <v/>
      </c>
      <c r="D781" s="17" t="n"/>
      <c r="E781" s="18" t="n"/>
      <c r="F781" s="19">
        <f>IF(OR($B781="",$E781=""),"",IFERROR(IF(AND(INDEX('Intervals'!$G$4:$G$33,MATCH($B781,'Intervals'!$A$4:$A$33,0))&lt;&gt;"No",N(INDEX('Intervals'!$C$4:$C$33,MATCH($B781,'Intervals'!$A$4:$A$33,0)))&gt;0),$E781+N(INDEX('Intervals'!$C$4:$C$33,MATCH($B781,'Intervals'!$A$4:$A$33,0))),""),""))</f>
        <v/>
      </c>
      <c r="G781" s="20">
        <f>IF(OR($B781="",$D781=""),"",IFERROR(IF(AND(INDEX('Intervals'!$G$4:$G$33,MATCH($B781,'Intervals'!$A$4:$A$33,0))&lt;&gt;"No",N(INDEX('Intervals'!$D$4:$D$33,MATCH($B781,'Intervals'!$A$4:$A$33,0)))&gt;0),EDATE($D781,N(INDEX('Intervals'!$D$4:$D$33,MATCH($B781,'Intervals'!$A$4:$A$33,0)))),""),""))</f>
        <v/>
      </c>
      <c r="H781" s="19">
        <f>IF($A781="","",IFERROR(IF(N(INDEX('Cars'!$H$4:$H$103,MATCH($A781,'Cars'!$A$4:$A$103,0)))&gt;0,INDEX('Cars'!$H$4:$H$103,MATCH($A781,'Cars'!$A$4:$A$103,0)),""),""))</f>
        <v/>
      </c>
      <c r="I781" s="19">
        <f>IF(OR($F781="",$H781=""),"",$F781-$H781)</f>
        <v/>
      </c>
      <c r="J781" s="21">
        <f>IF($G781="","",$G781-TODAY())</f>
        <v/>
      </c>
      <c r="K781" s="21">
        <f>IF($I781="","",IFERROR(IF(N(INDEX('Cars'!$J$4:$J$103,MATCH($A781,'Cars'!$A$4:$A$103,0)))&gt;0,ROUND($I781/INDEX('Cars'!$J$4:$J$103,MATCH($A781,'Cars'!$A$4:$A$103,0))*30,0),""),""))</f>
        <v/>
      </c>
      <c r="L781" s="21">
        <f>IF(AND($J781="",$K781=""),"",MIN(IF($J781="",99999,$J781),IF($K781="",99999,$K781)))</f>
        <v/>
      </c>
      <c r="M781" s="16">
        <f>IF(AND($I781="",$J781=""),"",IF(OR(AND($I781&lt;&gt;"",N($I781)&lt;0),AND($J781&lt;&gt;"",N($J781)&lt;0)),"Overdue",IF(OR(AND($I781&lt;&gt;"",N($I781)&lt;=IFERROR(INDEX('Intervals'!$E$4:$E$33,MATCH($B781,'Intervals'!$A$4:$A$33,0)),500)),AND($J781&lt;&gt;"",N($J781)&lt;=IFERROR(INDEX('Intervals'!$F$4:$F$33,MATCH($B781,'Intervals'!$A$4:$A$33,0)),14))),"Due soon","OK")))</f>
        <v/>
      </c>
      <c r="N781" s="15" t="n"/>
      <c r="O781" s="22">
        <f>IF(OR($M781="",$M781="OK"),"",$L781+ROW()/100000)</f>
        <v/>
      </c>
    </row>
    <row r="782">
      <c r="A782" s="15" t="n"/>
      <c r="B782" s="15" t="n"/>
      <c r="C782" s="16">
        <f>IF($B782="","",IFERROR(INDEX('Intervals'!$B$4:$B$33,MATCH($B782,'Intervals'!$A$4:$A$33,0)),""))</f>
        <v/>
      </c>
      <c r="D782" s="17" t="n"/>
      <c r="E782" s="18" t="n"/>
      <c r="F782" s="19">
        <f>IF(OR($B782="",$E782=""),"",IFERROR(IF(AND(INDEX('Intervals'!$G$4:$G$33,MATCH($B782,'Intervals'!$A$4:$A$33,0))&lt;&gt;"No",N(INDEX('Intervals'!$C$4:$C$33,MATCH($B782,'Intervals'!$A$4:$A$33,0)))&gt;0),$E782+N(INDEX('Intervals'!$C$4:$C$33,MATCH($B782,'Intervals'!$A$4:$A$33,0))),""),""))</f>
        <v/>
      </c>
      <c r="G782" s="20">
        <f>IF(OR($B782="",$D782=""),"",IFERROR(IF(AND(INDEX('Intervals'!$G$4:$G$33,MATCH($B782,'Intervals'!$A$4:$A$33,0))&lt;&gt;"No",N(INDEX('Intervals'!$D$4:$D$33,MATCH($B782,'Intervals'!$A$4:$A$33,0)))&gt;0),EDATE($D782,N(INDEX('Intervals'!$D$4:$D$33,MATCH($B782,'Intervals'!$A$4:$A$33,0)))),""),""))</f>
        <v/>
      </c>
      <c r="H782" s="19">
        <f>IF($A782="","",IFERROR(IF(N(INDEX('Cars'!$H$4:$H$103,MATCH($A782,'Cars'!$A$4:$A$103,0)))&gt;0,INDEX('Cars'!$H$4:$H$103,MATCH($A782,'Cars'!$A$4:$A$103,0)),""),""))</f>
        <v/>
      </c>
      <c r="I782" s="19">
        <f>IF(OR($F782="",$H782=""),"",$F782-$H782)</f>
        <v/>
      </c>
      <c r="J782" s="21">
        <f>IF($G782="","",$G782-TODAY())</f>
        <v/>
      </c>
      <c r="K782" s="21">
        <f>IF($I782="","",IFERROR(IF(N(INDEX('Cars'!$J$4:$J$103,MATCH($A782,'Cars'!$A$4:$A$103,0)))&gt;0,ROUND($I782/INDEX('Cars'!$J$4:$J$103,MATCH($A782,'Cars'!$A$4:$A$103,0))*30,0),""),""))</f>
        <v/>
      </c>
      <c r="L782" s="21">
        <f>IF(AND($J782="",$K782=""),"",MIN(IF($J782="",99999,$J782),IF($K782="",99999,$K782)))</f>
        <v/>
      </c>
      <c r="M782" s="16">
        <f>IF(AND($I782="",$J782=""),"",IF(OR(AND($I782&lt;&gt;"",N($I782)&lt;0),AND($J782&lt;&gt;"",N($J782)&lt;0)),"Overdue",IF(OR(AND($I782&lt;&gt;"",N($I782)&lt;=IFERROR(INDEX('Intervals'!$E$4:$E$33,MATCH($B782,'Intervals'!$A$4:$A$33,0)),500)),AND($J782&lt;&gt;"",N($J782)&lt;=IFERROR(INDEX('Intervals'!$F$4:$F$33,MATCH($B782,'Intervals'!$A$4:$A$33,0)),14))),"Due soon","OK")))</f>
        <v/>
      </c>
      <c r="N782" s="15" t="n"/>
      <c r="O782" s="22">
        <f>IF(OR($M782="",$M782="OK"),"",$L782+ROW()/100000)</f>
        <v/>
      </c>
    </row>
    <row r="783">
      <c r="A783" s="15" t="n"/>
      <c r="B783" s="15" t="n"/>
      <c r="C783" s="16">
        <f>IF($B783="","",IFERROR(INDEX('Intervals'!$B$4:$B$33,MATCH($B783,'Intervals'!$A$4:$A$33,0)),""))</f>
        <v/>
      </c>
      <c r="D783" s="17" t="n"/>
      <c r="E783" s="18" t="n"/>
      <c r="F783" s="19">
        <f>IF(OR($B783="",$E783=""),"",IFERROR(IF(AND(INDEX('Intervals'!$G$4:$G$33,MATCH($B783,'Intervals'!$A$4:$A$33,0))&lt;&gt;"No",N(INDEX('Intervals'!$C$4:$C$33,MATCH($B783,'Intervals'!$A$4:$A$33,0)))&gt;0),$E783+N(INDEX('Intervals'!$C$4:$C$33,MATCH($B783,'Intervals'!$A$4:$A$33,0))),""),""))</f>
        <v/>
      </c>
      <c r="G783" s="20">
        <f>IF(OR($B783="",$D783=""),"",IFERROR(IF(AND(INDEX('Intervals'!$G$4:$G$33,MATCH($B783,'Intervals'!$A$4:$A$33,0))&lt;&gt;"No",N(INDEX('Intervals'!$D$4:$D$33,MATCH($B783,'Intervals'!$A$4:$A$33,0)))&gt;0),EDATE($D783,N(INDEX('Intervals'!$D$4:$D$33,MATCH($B783,'Intervals'!$A$4:$A$33,0)))),""),""))</f>
        <v/>
      </c>
      <c r="H783" s="19">
        <f>IF($A783="","",IFERROR(IF(N(INDEX('Cars'!$H$4:$H$103,MATCH($A783,'Cars'!$A$4:$A$103,0)))&gt;0,INDEX('Cars'!$H$4:$H$103,MATCH($A783,'Cars'!$A$4:$A$103,0)),""),""))</f>
        <v/>
      </c>
      <c r="I783" s="19">
        <f>IF(OR($F783="",$H783=""),"",$F783-$H783)</f>
        <v/>
      </c>
      <c r="J783" s="21">
        <f>IF($G783="","",$G783-TODAY())</f>
        <v/>
      </c>
      <c r="K783" s="21">
        <f>IF($I783="","",IFERROR(IF(N(INDEX('Cars'!$J$4:$J$103,MATCH($A783,'Cars'!$A$4:$A$103,0)))&gt;0,ROUND($I783/INDEX('Cars'!$J$4:$J$103,MATCH($A783,'Cars'!$A$4:$A$103,0))*30,0),""),""))</f>
        <v/>
      </c>
      <c r="L783" s="21">
        <f>IF(AND($J783="",$K783=""),"",MIN(IF($J783="",99999,$J783),IF($K783="",99999,$K783)))</f>
        <v/>
      </c>
      <c r="M783" s="16">
        <f>IF(AND($I783="",$J783=""),"",IF(OR(AND($I783&lt;&gt;"",N($I783)&lt;0),AND($J783&lt;&gt;"",N($J783)&lt;0)),"Overdue",IF(OR(AND($I783&lt;&gt;"",N($I783)&lt;=IFERROR(INDEX('Intervals'!$E$4:$E$33,MATCH($B783,'Intervals'!$A$4:$A$33,0)),500)),AND($J783&lt;&gt;"",N($J783)&lt;=IFERROR(INDEX('Intervals'!$F$4:$F$33,MATCH($B783,'Intervals'!$A$4:$A$33,0)),14))),"Due soon","OK")))</f>
        <v/>
      </c>
      <c r="N783" s="15" t="n"/>
      <c r="O783" s="22">
        <f>IF(OR($M783="",$M783="OK"),"",$L783+ROW()/100000)</f>
        <v/>
      </c>
    </row>
    <row r="784">
      <c r="A784" s="15" t="n"/>
      <c r="B784" s="15" t="n"/>
      <c r="C784" s="16">
        <f>IF($B784="","",IFERROR(INDEX('Intervals'!$B$4:$B$33,MATCH($B784,'Intervals'!$A$4:$A$33,0)),""))</f>
        <v/>
      </c>
      <c r="D784" s="17" t="n"/>
      <c r="E784" s="18" t="n"/>
      <c r="F784" s="19">
        <f>IF(OR($B784="",$E784=""),"",IFERROR(IF(AND(INDEX('Intervals'!$G$4:$G$33,MATCH($B784,'Intervals'!$A$4:$A$33,0))&lt;&gt;"No",N(INDEX('Intervals'!$C$4:$C$33,MATCH($B784,'Intervals'!$A$4:$A$33,0)))&gt;0),$E784+N(INDEX('Intervals'!$C$4:$C$33,MATCH($B784,'Intervals'!$A$4:$A$33,0))),""),""))</f>
        <v/>
      </c>
      <c r="G784" s="20">
        <f>IF(OR($B784="",$D784=""),"",IFERROR(IF(AND(INDEX('Intervals'!$G$4:$G$33,MATCH($B784,'Intervals'!$A$4:$A$33,0))&lt;&gt;"No",N(INDEX('Intervals'!$D$4:$D$33,MATCH($B784,'Intervals'!$A$4:$A$33,0)))&gt;0),EDATE($D784,N(INDEX('Intervals'!$D$4:$D$33,MATCH($B784,'Intervals'!$A$4:$A$33,0)))),""),""))</f>
        <v/>
      </c>
      <c r="H784" s="19">
        <f>IF($A784="","",IFERROR(IF(N(INDEX('Cars'!$H$4:$H$103,MATCH($A784,'Cars'!$A$4:$A$103,0)))&gt;0,INDEX('Cars'!$H$4:$H$103,MATCH($A784,'Cars'!$A$4:$A$103,0)),""),""))</f>
        <v/>
      </c>
      <c r="I784" s="19">
        <f>IF(OR($F784="",$H784=""),"",$F784-$H784)</f>
        <v/>
      </c>
      <c r="J784" s="21">
        <f>IF($G784="","",$G784-TODAY())</f>
        <v/>
      </c>
      <c r="K784" s="21">
        <f>IF($I784="","",IFERROR(IF(N(INDEX('Cars'!$J$4:$J$103,MATCH($A784,'Cars'!$A$4:$A$103,0)))&gt;0,ROUND($I784/INDEX('Cars'!$J$4:$J$103,MATCH($A784,'Cars'!$A$4:$A$103,0))*30,0),""),""))</f>
        <v/>
      </c>
      <c r="L784" s="21">
        <f>IF(AND($J784="",$K784=""),"",MIN(IF($J784="",99999,$J784),IF($K784="",99999,$K784)))</f>
        <v/>
      </c>
      <c r="M784" s="16">
        <f>IF(AND($I784="",$J784=""),"",IF(OR(AND($I784&lt;&gt;"",N($I784)&lt;0),AND($J784&lt;&gt;"",N($J784)&lt;0)),"Overdue",IF(OR(AND($I784&lt;&gt;"",N($I784)&lt;=IFERROR(INDEX('Intervals'!$E$4:$E$33,MATCH($B784,'Intervals'!$A$4:$A$33,0)),500)),AND($J784&lt;&gt;"",N($J784)&lt;=IFERROR(INDEX('Intervals'!$F$4:$F$33,MATCH($B784,'Intervals'!$A$4:$A$33,0)),14))),"Due soon","OK")))</f>
        <v/>
      </c>
      <c r="N784" s="15" t="n"/>
      <c r="O784" s="22">
        <f>IF(OR($M784="",$M784="OK"),"",$L784+ROW()/100000)</f>
        <v/>
      </c>
    </row>
    <row r="785">
      <c r="A785" s="15" t="n"/>
      <c r="B785" s="15" t="n"/>
      <c r="C785" s="16">
        <f>IF($B785="","",IFERROR(INDEX('Intervals'!$B$4:$B$33,MATCH($B785,'Intervals'!$A$4:$A$33,0)),""))</f>
        <v/>
      </c>
      <c r="D785" s="17" t="n"/>
      <c r="E785" s="18" t="n"/>
      <c r="F785" s="19">
        <f>IF(OR($B785="",$E785=""),"",IFERROR(IF(AND(INDEX('Intervals'!$G$4:$G$33,MATCH($B785,'Intervals'!$A$4:$A$33,0))&lt;&gt;"No",N(INDEX('Intervals'!$C$4:$C$33,MATCH($B785,'Intervals'!$A$4:$A$33,0)))&gt;0),$E785+N(INDEX('Intervals'!$C$4:$C$33,MATCH($B785,'Intervals'!$A$4:$A$33,0))),""),""))</f>
        <v/>
      </c>
      <c r="G785" s="20">
        <f>IF(OR($B785="",$D785=""),"",IFERROR(IF(AND(INDEX('Intervals'!$G$4:$G$33,MATCH($B785,'Intervals'!$A$4:$A$33,0))&lt;&gt;"No",N(INDEX('Intervals'!$D$4:$D$33,MATCH($B785,'Intervals'!$A$4:$A$33,0)))&gt;0),EDATE($D785,N(INDEX('Intervals'!$D$4:$D$33,MATCH($B785,'Intervals'!$A$4:$A$33,0)))),""),""))</f>
        <v/>
      </c>
      <c r="H785" s="19">
        <f>IF($A785="","",IFERROR(IF(N(INDEX('Cars'!$H$4:$H$103,MATCH($A785,'Cars'!$A$4:$A$103,0)))&gt;0,INDEX('Cars'!$H$4:$H$103,MATCH($A785,'Cars'!$A$4:$A$103,0)),""),""))</f>
        <v/>
      </c>
      <c r="I785" s="19">
        <f>IF(OR($F785="",$H785=""),"",$F785-$H785)</f>
        <v/>
      </c>
      <c r="J785" s="21">
        <f>IF($G785="","",$G785-TODAY())</f>
        <v/>
      </c>
      <c r="K785" s="21">
        <f>IF($I785="","",IFERROR(IF(N(INDEX('Cars'!$J$4:$J$103,MATCH($A785,'Cars'!$A$4:$A$103,0)))&gt;0,ROUND($I785/INDEX('Cars'!$J$4:$J$103,MATCH($A785,'Cars'!$A$4:$A$103,0))*30,0),""),""))</f>
        <v/>
      </c>
      <c r="L785" s="21">
        <f>IF(AND($J785="",$K785=""),"",MIN(IF($J785="",99999,$J785),IF($K785="",99999,$K785)))</f>
        <v/>
      </c>
      <c r="M785" s="16">
        <f>IF(AND($I785="",$J785=""),"",IF(OR(AND($I785&lt;&gt;"",N($I785)&lt;0),AND($J785&lt;&gt;"",N($J785)&lt;0)),"Overdue",IF(OR(AND($I785&lt;&gt;"",N($I785)&lt;=IFERROR(INDEX('Intervals'!$E$4:$E$33,MATCH($B785,'Intervals'!$A$4:$A$33,0)),500)),AND($J785&lt;&gt;"",N($J785)&lt;=IFERROR(INDEX('Intervals'!$F$4:$F$33,MATCH($B785,'Intervals'!$A$4:$A$33,0)),14))),"Due soon","OK")))</f>
        <v/>
      </c>
      <c r="N785" s="15" t="n"/>
      <c r="O785" s="22">
        <f>IF(OR($M785="",$M785="OK"),"",$L785+ROW()/100000)</f>
        <v/>
      </c>
    </row>
    <row r="786">
      <c r="A786" s="15" t="n"/>
      <c r="B786" s="15" t="n"/>
      <c r="C786" s="16">
        <f>IF($B786="","",IFERROR(INDEX('Intervals'!$B$4:$B$33,MATCH($B786,'Intervals'!$A$4:$A$33,0)),""))</f>
        <v/>
      </c>
      <c r="D786" s="17" t="n"/>
      <c r="E786" s="18" t="n"/>
      <c r="F786" s="19">
        <f>IF(OR($B786="",$E786=""),"",IFERROR(IF(AND(INDEX('Intervals'!$G$4:$G$33,MATCH($B786,'Intervals'!$A$4:$A$33,0))&lt;&gt;"No",N(INDEX('Intervals'!$C$4:$C$33,MATCH($B786,'Intervals'!$A$4:$A$33,0)))&gt;0),$E786+N(INDEX('Intervals'!$C$4:$C$33,MATCH($B786,'Intervals'!$A$4:$A$33,0))),""),""))</f>
        <v/>
      </c>
      <c r="G786" s="20">
        <f>IF(OR($B786="",$D786=""),"",IFERROR(IF(AND(INDEX('Intervals'!$G$4:$G$33,MATCH($B786,'Intervals'!$A$4:$A$33,0))&lt;&gt;"No",N(INDEX('Intervals'!$D$4:$D$33,MATCH($B786,'Intervals'!$A$4:$A$33,0)))&gt;0),EDATE($D786,N(INDEX('Intervals'!$D$4:$D$33,MATCH($B786,'Intervals'!$A$4:$A$33,0)))),""),""))</f>
        <v/>
      </c>
      <c r="H786" s="19">
        <f>IF($A786="","",IFERROR(IF(N(INDEX('Cars'!$H$4:$H$103,MATCH($A786,'Cars'!$A$4:$A$103,0)))&gt;0,INDEX('Cars'!$H$4:$H$103,MATCH($A786,'Cars'!$A$4:$A$103,0)),""),""))</f>
        <v/>
      </c>
      <c r="I786" s="19">
        <f>IF(OR($F786="",$H786=""),"",$F786-$H786)</f>
        <v/>
      </c>
      <c r="J786" s="21">
        <f>IF($G786="","",$G786-TODAY())</f>
        <v/>
      </c>
      <c r="K786" s="21">
        <f>IF($I786="","",IFERROR(IF(N(INDEX('Cars'!$J$4:$J$103,MATCH($A786,'Cars'!$A$4:$A$103,0)))&gt;0,ROUND($I786/INDEX('Cars'!$J$4:$J$103,MATCH($A786,'Cars'!$A$4:$A$103,0))*30,0),""),""))</f>
        <v/>
      </c>
      <c r="L786" s="21">
        <f>IF(AND($J786="",$K786=""),"",MIN(IF($J786="",99999,$J786),IF($K786="",99999,$K786)))</f>
        <v/>
      </c>
      <c r="M786" s="16">
        <f>IF(AND($I786="",$J786=""),"",IF(OR(AND($I786&lt;&gt;"",N($I786)&lt;0),AND($J786&lt;&gt;"",N($J786)&lt;0)),"Overdue",IF(OR(AND($I786&lt;&gt;"",N($I786)&lt;=IFERROR(INDEX('Intervals'!$E$4:$E$33,MATCH($B786,'Intervals'!$A$4:$A$33,0)),500)),AND($J786&lt;&gt;"",N($J786)&lt;=IFERROR(INDEX('Intervals'!$F$4:$F$33,MATCH($B786,'Intervals'!$A$4:$A$33,0)),14))),"Due soon","OK")))</f>
        <v/>
      </c>
      <c r="N786" s="15" t="n"/>
      <c r="O786" s="22">
        <f>IF(OR($M786="",$M786="OK"),"",$L786+ROW()/100000)</f>
        <v/>
      </c>
    </row>
    <row r="787">
      <c r="A787" s="15" t="n"/>
      <c r="B787" s="15" t="n"/>
      <c r="C787" s="16">
        <f>IF($B787="","",IFERROR(INDEX('Intervals'!$B$4:$B$33,MATCH($B787,'Intervals'!$A$4:$A$33,0)),""))</f>
        <v/>
      </c>
      <c r="D787" s="17" t="n"/>
      <c r="E787" s="18" t="n"/>
      <c r="F787" s="19">
        <f>IF(OR($B787="",$E787=""),"",IFERROR(IF(AND(INDEX('Intervals'!$G$4:$G$33,MATCH($B787,'Intervals'!$A$4:$A$33,0))&lt;&gt;"No",N(INDEX('Intervals'!$C$4:$C$33,MATCH($B787,'Intervals'!$A$4:$A$33,0)))&gt;0),$E787+N(INDEX('Intervals'!$C$4:$C$33,MATCH($B787,'Intervals'!$A$4:$A$33,0))),""),""))</f>
        <v/>
      </c>
      <c r="G787" s="20">
        <f>IF(OR($B787="",$D787=""),"",IFERROR(IF(AND(INDEX('Intervals'!$G$4:$G$33,MATCH($B787,'Intervals'!$A$4:$A$33,0))&lt;&gt;"No",N(INDEX('Intervals'!$D$4:$D$33,MATCH($B787,'Intervals'!$A$4:$A$33,0)))&gt;0),EDATE($D787,N(INDEX('Intervals'!$D$4:$D$33,MATCH($B787,'Intervals'!$A$4:$A$33,0)))),""),""))</f>
        <v/>
      </c>
      <c r="H787" s="19">
        <f>IF($A787="","",IFERROR(IF(N(INDEX('Cars'!$H$4:$H$103,MATCH($A787,'Cars'!$A$4:$A$103,0)))&gt;0,INDEX('Cars'!$H$4:$H$103,MATCH($A787,'Cars'!$A$4:$A$103,0)),""),""))</f>
        <v/>
      </c>
      <c r="I787" s="19">
        <f>IF(OR($F787="",$H787=""),"",$F787-$H787)</f>
        <v/>
      </c>
      <c r="J787" s="21">
        <f>IF($G787="","",$G787-TODAY())</f>
        <v/>
      </c>
      <c r="K787" s="21">
        <f>IF($I787="","",IFERROR(IF(N(INDEX('Cars'!$J$4:$J$103,MATCH($A787,'Cars'!$A$4:$A$103,0)))&gt;0,ROUND($I787/INDEX('Cars'!$J$4:$J$103,MATCH($A787,'Cars'!$A$4:$A$103,0))*30,0),""),""))</f>
        <v/>
      </c>
      <c r="L787" s="21">
        <f>IF(AND($J787="",$K787=""),"",MIN(IF($J787="",99999,$J787),IF($K787="",99999,$K787)))</f>
        <v/>
      </c>
      <c r="M787" s="16">
        <f>IF(AND($I787="",$J787=""),"",IF(OR(AND($I787&lt;&gt;"",N($I787)&lt;0),AND($J787&lt;&gt;"",N($J787)&lt;0)),"Overdue",IF(OR(AND($I787&lt;&gt;"",N($I787)&lt;=IFERROR(INDEX('Intervals'!$E$4:$E$33,MATCH($B787,'Intervals'!$A$4:$A$33,0)),500)),AND($J787&lt;&gt;"",N($J787)&lt;=IFERROR(INDEX('Intervals'!$F$4:$F$33,MATCH($B787,'Intervals'!$A$4:$A$33,0)),14))),"Due soon","OK")))</f>
        <v/>
      </c>
      <c r="N787" s="15" t="n"/>
      <c r="O787" s="22">
        <f>IF(OR($M787="",$M787="OK"),"",$L787+ROW()/100000)</f>
        <v/>
      </c>
    </row>
    <row r="788">
      <c r="A788" s="15" t="n"/>
      <c r="B788" s="15" t="n"/>
      <c r="C788" s="16">
        <f>IF($B788="","",IFERROR(INDEX('Intervals'!$B$4:$B$33,MATCH($B788,'Intervals'!$A$4:$A$33,0)),""))</f>
        <v/>
      </c>
      <c r="D788" s="17" t="n"/>
      <c r="E788" s="18" t="n"/>
      <c r="F788" s="19">
        <f>IF(OR($B788="",$E788=""),"",IFERROR(IF(AND(INDEX('Intervals'!$G$4:$G$33,MATCH($B788,'Intervals'!$A$4:$A$33,0))&lt;&gt;"No",N(INDEX('Intervals'!$C$4:$C$33,MATCH($B788,'Intervals'!$A$4:$A$33,0)))&gt;0),$E788+N(INDEX('Intervals'!$C$4:$C$33,MATCH($B788,'Intervals'!$A$4:$A$33,0))),""),""))</f>
        <v/>
      </c>
      <c r="G788" s="20">
        <f>IF(OR($B788="",$D788=""),"",IFERROR(IF(AND(INDEX('Intervals'!$G$4:$G$33,MATCH($B788,'Intervals'!$A$4:$A$33,0))&lt;&gt;"No",N(INDEX('Intervals'!$D$4:$D$33,MATCH($B788,'Intervals'!$A$4:$A$33,0)))&gt;0),EDATE($D788,N(INDEX('Intervals'!$D$4:$D$33,MATCH($B788,'Intervals'!$A$4:$A$33,0)))),""),""))</f>
        <v/>
      </c>
      <c r="H788" s="19">
        <f>IF($A788="","",IFERROR(IF(N(INDEX('Cars'!$H$4:$H$103,MATCH($A788,'Cars'!$A$4:$A$103,0)))&gt;0,INDEX('Cars'!$H$4:$H$103,MATCH($A788,'Cars'!$A$4:$A$103,0)),""),""))</f>
        <v/>
      </c>
      <c r="I788" s="19">
        <f>IF(OR($F788="",$H788=""),"",$F788-$H788)</f>
        <v/>
      </c>
      <c r="J788" s="21">
        <f>IF($G788="","",$G788-TODAY())</f>
        <v/>
      </c>
      <c r="K788" s="21">
        <f>IF($I788="","",IFERROR(IF(N(INDEX('Cars'!$J$4:$J$103,MATCH($A788,'Cars'!$A$4:$A$103,0)))&gt;0,ROUND($I788/INDEX('Cars'!$J$4:$J$103,MATCH($A788,'Cars'!$A$4:$A$103,0))*30,0),""),""))</f>
        <v/>
      </c>
      <c r="L788" s="21">
        <f>IF(AND($J788="",$K788=""),"",MIN(IF($J788="",99999,$J788),IF($K788="",99999,$K788)))</f>
        <v/>
      </c>
      <c r="M788" s="16">
        <f>IF(AND($I788="",$J788=""),"",IF(OR(AND($I788&lt;&gt;"",N($I788)&lt;0),AND($J788&lt;&gt;"",N($J788)&lt;0)),"Overdue",IF(OR(AND($I788&lt;&gt;"",N($I788)&lt;=IFERROR(INDEX('Intervals'!$E$4:$E$33,MATCH($B788,'Intervals'!$A$4:$A$33,0)),500)),AND($J788&lt;&gt;"",N($J788)&lt;=IFERROR(INDEX('Intervals'!$F$4:$F$33,MATCH($B788,'Intervals'!$A$4:$A$33,0)),14))),"Due soon","OK")))</f>
        <v/>
      </c>
      <c r="N788" s="15" t="n"/>
      <c r="O788" s="22">
        <f>IF(OR($M788="",$M788="OK"),"",$L788+ROW()/100000)</f>
        <v/>
      </c>
    </row>
    <row r="789">
      <c r="A789" s="15" t="n"/>
      <c r="B789" s="15" t="n"/>
      <c r="C789" s="16">
        <f>IF($B789="","",IFERROR(INDEX('Intervals'!$B$4:$B$33,MATCH($B789,'Intervals'!$A$4:$A$33,0)),""))</f>
        <v/>
      </c>
      <c r="D789" s="17" t="n"/>
      <c r="E789" s="18" t="n"/>
      <c r="F789" s="19">
        <f>IF(OR($B789="",$E789=""),"",IFERROR(IF(AND(INDEX('Intervals'!$G$4:$G$33,MATCH($B789,'Intervals'!$A$4:$A$33,0))&lt;&gt;"No",N(INDEX('Intervals'!$C$4:$C$33,MATCH($B789,'Intervals'!$A$4:$A$33,0)))&gt;0),$E789+N(INDEX('Intervals'!$C$4:$C$33,MATCH($B789,'Intervals'!$A$4:$A$33,0))),""),""))</f>
        <v/>
      </c>
      <c r="G789" s="20">
        <f>IF(OR($B789="",$D789=""),"",IFERROR(IF(AND(INDEX('Intervals'!$G$4:$G$33,MATCH($B789,'Intervals'!$A$4:$A$33,0))&lt;&gt;"No",N(INDEX('Intervals'!$D$4:$D$33,MATCH($B789,'Intervals'!$A$4:$A$33,0)))&gt;0),EDATE($D789,N(INDEX('Intervals'!$D$4:$D$33,MATCH($B789,'Intervals'!$A$4:$A$33,0)))),""),""))</f>
        <v/>
      </c>
      <c r="H789" s="19">
        <f>IF($A789="","",IFERROR(IF(N(INDEX('Cars'!$H$4:$H$103,MATCH($A789,'Cars'!$A$4:$A$103,0)))&gt;0,INDEX('Cars'!$H$4:$H$103,MATCH($A789,'Cars'!$A$4:$A$103,0)),""),""))</f>
        <v/>
      </c>
      <c r="I789" s="19">
        <f>IF(OR($F789="",$H789=""),"",$F789-$H789)</f>
        <v/>
      </c>
      <c r="J789" s="21">
        <f>IF($G789="","",$G789-TODAY())</f>
        <v/>
      </c>
      <c r="K789" s="21">
        <f>IF($I789="","",IFERROR(IF(N(INDEX('Cars'!$J$4:$J$103,MATCH($A789,'Cars'!$A$4:$A$103,0)))&gt;0,ROUND($I789/INDEX('Cars'!$J$4:$J$103,MATCH($A789,'Cars'!$A$4:$A$103,0))*30,0),""),""))</f>
        <v/>
      </c>
      <c r="L789" s="21">
        <f>IF(AND($J789="",$K789=""),"",MIN(IF($J789="",99999,$J789),IF($K789="",99999,$K789)))</f>
        <v/>
      </c>
      <c r="M789" s="16">
        <f>IF(AND($I789="",$J789=""),"",IF(OR(AND($I789&lt;&gt;"",N($I789)&lt;0),AND($J789&lt;&gt;"",N($J789)&lt;0)),"Overdue",IF(OR(AND($I789&lt;&gt;"",N($I789)&lt;=IFERROR(INDEX('Intervals'!$E$4:$E$33,MATCH($B789,'Intervals'!$A$4:$A$33,0)),500)),AND($J789&lt;&gt;"",N($J789)&lt;=IFERROR(INDEX('Intervals'!$F$4:$F$33,MATCH($B789,'Intervals'!$A$4:$A$33,0)),14))),"Due soon","OK")))</f>
        <v/>
      </c>
      <c r="N789" s="15" t="n"/>
      <c r="O789" s="22">
        <f>IF(OR($M789="",$M789="OK"),"",$L789+ROW()/100000)</f>
        <v/>
      </c>
    </row>
    <row r="790">
      <c r="A790" s="15" t="n"/>
      <c r="B790" s="15" t="n"/>
      <c r="C790" s="16">
        <f>IF($B790="","",IFERROR(INDEX('Intervals'!$B$4:$B$33,MATCH($B790,'Intervals'!$A$4:$A$33,0)),""))</f>
        <v/>
      </c>
      <c r="D790" s="17" t="n"/>
      <c r="E790" s="18" t="n"/>
      <c r="F790" s="19">
        <f>IF(OR($B790="",$E790=""),"",IFERROR(IF(AND(INDEX('Intervals'!$G$4:$G$33,MATCH($B790,'Intervals'!$A$4:$A$33,0))&lt;&gt;"No",N(INDEX('Intervals'!$C$4:$C$33,MATCH($B790,'Intervals'!$A$4:$A$33,0)))&gt;0),$E790+N(INDEX('Intervals'!$C$4:$C$33,MATCH($B790,'Intervals'!$A$4:$A$33,0))),""),""))</f>
        <v/>
      </c>
      <c r="G790" s="20">
        <f>IF(OR($B790="",$D790=""),"",IFERROR(IF(AND(INDEX('Intervals'!$G$4:$G$33,MATCH($B790,'Intervals'!$A$4:$A$33,0))&lt;&gt;"No",N(INDEX('Intervals'!$D$4:$D$33,MATCH($B790,'Intervals'!$A$4:$A$33,0)))&gt;0),EDATE($D790,N(INDEX('Intervals'!$D$4:$D$33,MATCH($B790,'Intervals'!$A$4:$A$33,0)))),""),""))</f>
        <v/>
      </c>
      <c r="H790" s="19">
        <f>IF($A790="","",IFERROR(IF(N(INDEX('Cars'!$H$4:$H$103,MATCH($A790,'Cars'!$A$4:$A$103,0)))&gt;0,INDEX('Cars'!$H$4:$H$103,MATCH($A790,'Cars'!$A$4:$A$103,0)),""),""))</f>
        <v/>
      </c>
      <c r="I790" s="19">
        <f>IF(OR($F790="",$H790=""),"",$F790-$H790)</f>
        <v/>
      </c>
      <c r="J790" s="21">
        <f>IF($G790="","",$G790-TODAY())</f>
        <v/>
      </c>
      <c r="K790" s="21">
        <f>IF($I790="","",IFERROR(IF(N(INDEX('Cars'!$J$4:$J$103,MATCH($A790,'Cars'!$A$4:$A$103,0)))&gt;0,ROUND($I790/INDEX('Cars'!$J$4:$J$103,MATCH($A790,'Cars'!$A$4:$A$103,0))*30,0),""),""))</f>
        <v/>
      </c>
      <c r="L790" s="21">
        <f>IF(AND($J790="",$K790=""),"",MIN(IF($J790="",99999,$J790),IF($K790="",99999,$K790)))</f>
        <v/>
      </c>
      <c r="M790" s="16">
        <f>IF(AND($I790="",$J790=""),"",IF(OR(AND($I790&lt;&gt;"",N($I790)&lt;0),AND($J790&lt;&gt;"",N($J790)&lt;0)),"Overdue",IF(OR(AND($I790&lt;&gt;"",N($I790)&lt;=IFERROR(INDEX('Intervals'!$E$4:$E$33,MATCH($B790,'Intervals'!$A$4:$A$33,0)),500)),AND($J790&lt;&gt;"",N($J790)&lt;=IFERROR(INDEX('Intervals'!$F$4:$F$33,MATCH($B790,'Intervals'!$A$4:$A$33,0)),14))),"Due soon","OK")))</f>
        <v/>
      </c>
      <c r="N790" s="15" t="n"/>
      <c r="O790" s="22">
        <f>IF(OR($M790="",$M790="OK"),"",$L790+ROW()/100000)</f>
        <v/>
      </c>
    </row>
    <row r="791">
      <c r="A791" s="15" t="n"/>
      <c r="B791" s="15" t="n"/>
      <c r="C791" s="16">
        <f>IF($B791="","",IFERROR(INDEX('Intervals'!$B$4:$B$33,MATCH($B791,'Intervals'!$A$4:$A$33,0)),""))</f>
        <v/>
      </c>
      <c r="D791" s="17" t="n"/>
      <c r="E791" s="18" t="n"/>
      <c r="F791" s="19">
        <f>IF(OR($B791="",$E791=""),"",IFERROR(IF(AND(INDEX('Intervals'!$G$4:$G$33,MATCH($B791,'Intervals'!$A$4:$A$33,0))&lt;&gt;"No",N(INDEX('Intervals'!$C$4:$C$33,MATCH($B791,'Intervals'!$A$4:$A$33,0)))&gt;0),$E791+N(INDEX('Intervals'!$C$4:$C$33,MATCH($B791,'Intervals'!$A$4:$A$33,0))),""),""))</f>
        <v/>
      </c>
      <c r="G791" s="20">
        <f>IF(OR($B791="",$D791=""),"",IFERROR(IF(AND(INDEX('Intervals'!$G$4:$G$33,MATCH($B791,'Intervals'!$A$4:$A$33,0))&lt;&gt;"No",N(INDEX('Intervals'!$D$4:$D$33,MATCH($B791,'Intervals'!$A$4:$A$33,0)))&gt;0),EDATE($D791,N(INDEX('Intervals'!$D$4:$D$33,MATCH($B791,'Intervals'!$A$4:$A$33,0)))),""),""))</f>
        <v/>
      </c>
      <c r="H791" s="19">
        <f>IF($A791="","",IFERROR(IF(N(INDEX('Cars'!$H$4:$H$103,MATCH($A791,'Cars'!$A$4:$A$103,0)))&gt;0,INDEX('Cars'!$H$4:$H$103,MATCH($A791,'Cars'!$A$4:$A$103,0)),""),""))</f>
        <v/>
      </c>
      <c r="I791" s="19">
        <f>IF(OR($F791="",$H791=""),"",$F791-$H791)</f>
        <v/>
      </c>
      <c r="J791" s="21">
        <f>IF($G791="","",$G791-TODAY())</f>
        <v/>
      </c>
      <c r="K791" s="21">
        <f>IF($I791="","",IFERROR(IF(N(INDEX('Cars'!$J$4:$J$103,MATCH($A791,'Cars'!$A$4:$A$103,0)))&gt;0,ROUND($I791/INDEX('Cars'!$J$4:$J$103,MATCH($A791,'Cars'!$A$4:$A$103,0))*30,0),""),""))</f>
        <v/>
      </c>
      <c r="L791" s="21">
        <f>IF(AND($J791="",$K791=""),"",MIN(IF($J791="",99999,$J791),IF($K791="",99999,$K791)))</f>
        <v/>
      </c>
      <c r="M791" s="16">
        <f>IF(AND($I791="",$J791=""),"",IF(OR(AND($I791&lt;&gt;"",N($I791)&lt;0),AND($J791&lt;&gt;"",N($J791)&lt;0)),"Overdue",IF(OR(AND($I791&lt;&gt;"",N($I791)&lt;=IFERROR(INDEX('Intervals'!$E$4:$E$33,MATCH($B791,'Intervals'!$A$4:$A$33,0)),500)),AND($J791&lt;&gt;"",N($J791)&lt;=IFERROR(INDEX('Intervals'!$F$4:$F$33,MATCH($B791,'Intervals'!$A$4:$A$33,0)),14))),"Due soon","OK")))</f>
        <v/>
      </c>
      <c r="N791" s="15" t="n"/>
      <c r="O791" s="22">
        <f>IF(OR($M791="",$M791="OK"),"",$L791+ROW()/100000)</f>
        <v/>
      </c>
    </row>
    <row r="792">
      <c r="A792" s="15" t="n"/>
      <c r="B792" s="15" t="n"/>
      <c r="C792" s="16">
        <f>IF($B792="","",IFERROR(INDEX('Intervals'!$B$4:$B$33,MATCH($B792,'Intervals'!$A$4:$A$33,0)),""))</f>
        <v/>
      </c>
      <c r="D792" s="17" t="n"/>
      <c r="E792" s="18" t="n"/>
      <c r="F792" s="19">
        <f>IF(OR($B792="",$E792=""),"",IFERROR(IF(AND(INDEX('Intervals'!$G$4:$G$33,MATCH($B792,'Intervals'!$A$4:$A$33,0))&lt;&gt;"No",N(INDEX('Intervals'!$C$4:$C$33,MATCH($B792,'Intervals'!$A$4:$A$33,0)))&gt;0),$E792+N(INDEX('Intervals'!$C$4:$C$33,MATCH($B792,'Intervals'!$A$4:$A$33,0))),""),""))</f>
        <v/>
      </c>
      <c r="G792" s="20">
        <f>IF(OR($B792="",$D792=""),"",IFERROR(IF(AND(INDEX('Intervals'!$G$4:$G$33,MATCH($B792,'Intervals'!$A$4:$A$33,0))&lt;&gt;"No",N(INDEX('Intervals'!$D$4:$D$33,MATCH($B792,'Intervals'!$A$4:$A$33,0)))&gt;0),EDATE($D792,N(INDEX('Intervals'!$D$4:$D$33,MATCH($B792,'Intervals'!$A$4:$A$33,0)))),""),""))</f>
        <v/>
      </c>
      <c r="H792" s="19">
        <f>IF($A792="","",IFERROR(IF(N(INDEX('Cars'!$H$4:$H$103,MATCH($A792,'Cars'!$A$4:$A$103,0)))&gt;0,INDEX('Cars'!$H$4:$H$103,MATCH($A792,'Cars'!$A$4:$A$103,0)),""),""))</f>
        <v/>
      </c>
      <c r="I792" s="19">
        <f>IF(OR($F792="",$H792=""),"",$F792-$H792)</f>
        <v/>
      </c>
      <c r="J792" s="21">
        <f>IF($G792="","",$G792-TODAY())</f>
        <v/>
      </c>
      <c r="K792" s="21">
        <f>IF($I792="","",IFERROR(IF(N(INDEX('Cars'!$J$4:$J$103,MATCH($A792,'Cars'!$A$4:$A$103,0)))&gt;0,ROUND($I792/INDEX('Cars'!$J$4:$J$103,MATCH($A792,'Cars'!$A$4:$A$103,0))*30,0),""),""))</f>
        <v/>
      </c>
      <c r="L792" s="21">
        <f>IF(AND($J792="",$K792=""),"",MIN(IF($J792="",99999,$J792),IF($K792="",99999,$K792)))</f>
        <v/>
      </c>
      <c r="M792" s="16">
        <f>IF(AND($I792="",$J792=""),"",IF(OR(AND($I792&lt;&gt;"",N($I792)&lt;0),AND($J792&lt;&gt;"",N($J792)&lt;0)),"Overdue",IF(OR(AND($I792&lt;&gt;"",N($I792)&lt;=IFERROR(INDEX('Intervals'!$E$4:$E$33,MATCH($B792,'Intervals'!$A$4:$A$33,0)),500)),AND($J792&lt;&gt;"",N($J792)&lt;=IFERROR(INDEX('Intervals'!$F$4:$F$33,MATCH($B792,'Intervals'!$A$4:$A$33,0)),14))),"Due soon","OK")))</f>
        <v/>
      </c>
      <c r="N792" s="15" t="n"/>
      <c r="O792" s="22">
        <f>IF(OR($M792="",$M792="OK"),"",$L792+ROW()/100000)</f>
        <v/>
      </c>
    </row>
    <row r="793">
      <c r="A793" s="15" t="n"/>
      <c r="B793" s="15" t="n"/>
      <c r="C793" s="16">
        <f>IF($B793="","",IFERROR(INDEX('Intervals'!$B$4:$B$33,MATCH($B793,'Intervals'!$A$4:$A$33,0)),""))</f>
        <v/>
      </c>
      <c r="D793" s="17" t="n"/>
      <c r="E793" s="18" t="n"/>
      <c r="F793" s="19">
        <f>IF(OR($B793="",$E793=""),"",IFERROR(IF(AND(INDEX('Intervals'!$G$4:$G$33,MATCH($B793,'Intervals'!$A$4:$A$33,0))&lt;&gt;"No",N(INDEX('Intervals'!$C$4:$C$33,MATCH($B793,'Intervals'!$A$4:$A$33,0)))&gt;0),$E793+N(INDEX('Intervals'!$C$4:$C$33,MATCH($B793,'Intervals'!$A$4:$A$33,0))),""),""))</f>
        <v/>
      </c>
      <c r="G793" s="20">
        <f>IF(OR($B793="",$D793=""),"",IFERROR(IF(AND(INDEX('Intervals'!$G$4:$G$33,MATCH($B793,'Intervals'!$A$4:$A$33,0))&lt;&gt;"No",N(INDEX('Intervals'!$D$4:$D$33,MATCH($B793,'Intervals'!$A$4:$A$33,0)))&gt;0),EDATE($D793,N(INDEX('Intervals'!$D$4:$D$33,MATCH($B793,'Intervals'!$A$4:$A$33,0)))),""),""))</f>
        <v/>
      </c>
      <c r="H793" s="19">
        <f>IF($A793="","",IFERROR(IF(N(INDEX('Cars'!$H$4:$H$103,MATCH($A793,'Cars'!$A$4:$A$103,0)))&gt;0,INDEX('Cars'!$H$4:$H$103,MATCH($A793,'Cars'!$A$4:$A$103,0)),""),""))</f>
        <v/>
      </c>
      <c r="I793" s="19">
        <f>IF(OR($F793="",$H793=""),"",$F793-$H793)</f>
        <v/>
      </c>
      <c r="J793" s="21">
        <f>IF($G793="","",$G793-TODAY())</f>
        <v/>
      </c>
      <c r="K793" s="21">
        <f>IF($I793="","",IFERROR(IF(N(INDEX('Cars'!$J$4:$J$103,MATCH($A793,'Cars'!$A$4:$A$103,0)))&gt;0,ROUND($I793/INDEX('Cars'!$J$4:$J$103,MATCH($A793,'Cars'!$A$4:$A$103,0))*30,0),""),""))</f>
        <v/>
      </c>
      <c r="L793" s="21">
        <f>IF(AND($J793="",$K793=""),"",MIN(IF($J793="",99999,$J793),IF($K793="",99999,$K793)))</f>
        <v/>
      </c>
      <c r="M793" s="16">
        <f>IF(AND($I793="",$J793=""),"",IF(OR(AND($I793&lt;&gt;"",N($I793)&lt;0),AND($J793&lt;&gt;"",N($J793)&lt;0)),"Overdue",IF(OR(AND($I793&lt;&gt;"",N($I793)&lt;=IFERROR(INDEX('Intervals'!$E$4:$E$33,MATCH($B793,'Intervals'!$A$4:$A$33,0)),500)),AND($J793&lt;&gt;"",N($J793)&lt;=IFERROR(INDEX('Intervals'!$F$4:$F$33,MATCH($B793,'Intervals'!$A$4:$A$33,0)),14))),"Due soon","OK")))</f>
        <v/>
      </c>
      <c r="N793" s="15" t="n"/>
      <c r="O793" s="22">
        <f>IF(OR($M793="",$M793="OK"),"",$L793+ROW()/100000)</f>
        <v/>
      </c>
    </row>
    <row r="794">
      <c r="A794" s="15" t="n"/>
      <c r="B794" s="15" t="n"/>
      <c r="C794" s="16">
        <f>IF($B794="","",IFERROR(INDEX('Intervals'!$B$4:$B$33,MATCH($B794,'Intervals'!$A$4:$A$33,0)),""))</f>
        <v/>
      </c>
      <c r="D794" s="17" t="n"/>
      <c r="E794" s="18" t="n"/>
      <c r="F794" s="19">
        <f>IF(OR($B794="",$E794=""),"",IFERROR(IF(AND(INDEX('Intervals'!$G$4:$G$33,MATCH($B794,'Intervals'!$A$4:$A$33,0))&lt;&gt;"No",N(INDEX('Intervals'!$C$4:$C$33,MATCH($B794,'Intervals'!$A$4:$A$33,0)))&gt;0),$E794+N(INDEX('Intervals'!$C$4:$C$33,MATCH($B794,'Intervals'!$A$4:$A$33,0))),""),""))</f>
        <v/>
      </c>
      <c r="G794" s="20">
        <f>IF(OR($B794="",$D794=""),"",IFERROR(IF(AND(INDEX('Intervals'!$G$4:$G$33,MATCH($B794,'Intervals'!$A$4:$A$33,0))&lt;&gt;"No",N(INDEX('Intervals'!$D$4:$D$33,MATCH($B794,'Intervals'!$A$4:$A$33,0)))&gt;0),EDATE($D794,N(INDEX('Intervals'!$D$4:$D$33,MATCH($B794,'Intervals'!$A$4:$A$33,0)))),""),""))</f>
        <v/>
      </c>
      <c r="H794" s="19">
        <f>IF($A794="","",IFERROR(IF(N(INDEX('Cars'!$H$4:$H$103,MATCH($A794,'Cars'!$A$4:$A$103,0)))&gt;0,INDEX('Cars'!$H$4:$H$103,MATCH($A794,'Cars'!$A$4:$A$103,0)),""),""))</f>
        <v/>
      </c>
      <c r="I794" s="19">
        <f>IF(OR($F794="",$H794=""),"",$F794-$H794)</f>
        <v/>
      </c>
      <c r="J794" s="21">
        <f>IF($G794="","",$G794-TODAY())</f>
        <v/>
      </c>
      <c r="K794" s="21">
        <f>IF($I794="","",IFERROR(IF(N(INDEX('Cars'!$J$4:$J$103,MATCH($A794,'Cars'!$A$4:$A$103,0)))&gt;0,ROUND($I794/INDEX('Cars'!$J$4:$J$103,MATCH($A794,'Cars'!$A$4:$A$103,0))*30,0),""),""))</f>
        <v/>
      </c>
      <c r="L794" s="21">
        <f>IF(AND($J794="",$K794=""),"",MIN(IF($J794="",99999,$J794),IF($K794="",99999,$K794)))</f>
        <v/>
      </c>
      <c r="M794" s="16">
        <f>IF(AND($I794="",$J794=""),"",IF(OR(AND($I794&lt;&gt;"",N($I794)&lt;0),AND($J794&lt;&gt;"",N($J794)&lt;0)),"Overdue",IF(OR(AND($I794&lt;&gt;"",N($I794)&lt;=IFERROR(INDEX('Intervals'!$E$4:$E$33,MATCH($B794,'Intervals'!$A$4:$A$33,0)),500)),AND($J794&lt;&gt;"",N($J794)&lt;=IFERROR(INDEX('Intervals'!$F$4:$F$33,MATCH($B794,'Intervals'!$A$4:$A$33,0)),14))),"Due soon","OK")))</f>
        <v/>
      </c>
      <c r="N794" s="15" t="n"/>
      <c r="O794" s="22">
        <f>IF(OR($M794="",$M794="OK"),"",$L794+ROW()/100000)</f>
        <v/>
      </c>
    </row>
    <row r="795">
      <c r="A795" s="15" t="n"/>
      <c r="B795" s="15" t="n"/>
      <c r="C795" s="16">
        <f>IF($B795="","",IFERROR(INDEX('Intervals'!$B$4:$B$33,MATCH($B795,'Intervals'!$A$4:$A$33,0)),""))</f>
        <v/>
      </c>
      <c r="D795" s="17" t="n"/>
      <c r="E795" s="18" t="n"/>
      <c r="F795" s="19">
        <f>IF(OR($B795="",$E795=""),"",IFERROR(IF(AND(INDEX('Intervals'!$G$4:$G$33,MATCH($B795,'Intervals'!$A$4:$A$33,0))&lt;&gt;"No",N(INDEX('Intervals'!$C$4:$C$33,MATCH($B795,'Intervals'!$A$4:$A$33,0)))&gt;0),$E795+N(INDEX('Intervals'!$C$4:$C$33,MATCH($B795,'Intervals'!$A$4:$A$33,0))),""),""))</f>
        <v/>
      </c>
      <c r="G795" s="20">
        <f>IF(OR($B795="",$D795=""),"",IFERROR(IF(AND(INDEX('Intervals'!$G$4:$G$33,MATCH($B795,'Intervals'!$A$4:$A$33,0))&lt;&gt;"No",N(INDEX('Intervals'!$D$4:$D$33,MATCH($B795,'Intervals'!$A$4:$A$33,0)))&gt;0),EDATE($D795,N(INDEX('Intervals'!$D$4:$D$33,MATCH($B795,'Intervals'!$A$4:$A$33,0)))),""),""))</f>
        <v/>
      </c>
      <c r="H795" s="19">
        <f>IF($A795="","",IFERROR(IF(N(INDEX('Cars'!$H$4:$H$103,MATCH($A795,'Cars'!$A$4:$A$103,0)))&gt;0,INDEX('Cars'!$H$4:$H$103,MATCH($A795,'Cars'!$A$4:$A$103,0)),""),""))</f>
        <v/>
      </c>
      <c r="I795" s="19">
        <f>IF(OR($F795="",$H795=""),"",$F795-$H795)</f>
        <v/>
      </c>
      <c r="J795" s="21">
        <f>IF($G795="","",$G795-TODAY())</f>
        <v/>
      </c>
      <c r="K795" s="21">
        <f>IF($I795="","",IFERROR(IF(N(INDEX('Cars'!$J$4:$J$103,MATCH($A795,'Cars'!$A$4:$A$103,0)))&gt;0,ROUND($I795/INDEX('Cars'!$J$4:$J$103,MATCH($A795,'Cars'!$A$4:$A$103,0))*30,0),""),""))</f>
        <v/>
      </c>
      <c r="L795" s="21">
        <f>IF(AND($J795="",$K795=""),"",MIN(IF($J795="",99999,$J795),IF($K795="",99999,$K795)))</f>
        <v/>
      </c>
      <c r="M795" s="16">
        <f>IF(AND($I795="",$J795=""),"",IF(OR(AND($I795&lt;&gt;"",N($I795)&lt;0),AND($J795&lt;&gt;"",N($J795)&lt;0)),"Overdue",IF(OR(AND($I795&lt;&gt;"",N($I795)&lt;=IFERROR(INDEX('Intervals'!$E$4:$E$33,MATCH($B795,'Intervals'!$A$4:$A$33,0)),500)),AND($J795&lt;&gt;"",N($J795)&lt;=IFERROR(INDEX('Intervals'!$F$4:$F$33,MATCH($B795,'Intervals'!$A$4:$A$33,0)),14))),"Due soon","OK")))</f>
        <v/>
      </c>
      <c r="N795" s="15" t="n"/>
      <c r="O795" s="22">
        <f>IF(OR($M795="",$M795="OK"),"",$L795+ROW()/100000)</f>
        <v/>
      </c>
    </row>
    <row r="796">
      <c r="A796" s="15" t="n"/>
      <c r="B796" s="15" t="n"/>
      <c r="C796" s="16">
        <f>IF($B796="","",IFERROR(INDEX('Intervals'!$B$4:$B$33,MATCH($B796,'Intervals'!$A$4:$A$33,0)),""))</f>
        <v/>
      </c>
      <c r="D796" s="17" t="n"/>
      <c r="E796" s="18" t="n"/>
      <c r="F796" s="19">
        <f>IF(OR($B796="",$E796=""),"",IFERROR(IF(AND(INDEX('Intervals'!$G$4:$G$33,MATCH($B796,'Intervals'!$A$4:$A$33,0))&lt;&gt;"No",N(INDEX('Intervals'!$C$4:$C$33,MATCH($B796,'Intervals'!$A$4:$A$33,0)))&gt;0),$E796+N(INDEX('Intervals'!$C$4:$C$33,MATCH($B796,'Intervals'!$A$4:$A$33,0))),""),""))</f>
        <v/>
      </c>
      <c r="G796" s="20">
        <f>IF(OR($B796="",$D796=""),"",IFERROR(IF(AND(INDEX('Intervals'!$G$4:$G$33,MATCH($B796,'Intervals'!$A$4:$A$33,0))&lt;&gt;"No",N(INDEX('Intervals'!$D$4:$D$33,MATCH($B796,'Intervals'!$A$4:$A$33,0)))&gt;0),EDATE($D796,N(INDEX('Intervals'!$D$4:$D$33,MATCH($B796,'Intervals'!$A$4:$A$33,0)))),""),""))</f>
        <v/>
      </c>
      <c r="H796" s="19">
        <f>IF($A796="","",IFERROR(IF(N(INDEX('Cars'!$H$4:$H$103,MATCH($A796,'Cars'!$A$4:$A$103,0)))&gt;0,INDEX('Cars'!$H$4:$H$103,MATCH($A796,'Cars'!$A$4:$A$103,0)),""),""))</f>
        <v/>
      </c>
      <c r="I796" s="19">
        <f>IF(OR($F796="",$H796=""),"",$F796-$H796)</f>
        <v/>
      </c>
      <c r="J796" s="21">
        <f>IF($G796="","",$G796-TODAY())</f>
        <v/>
      </c>
      <c r="K796" s="21">
        <f>IF($I796="","",IFERROR(IF(N(INDEX('Cars'!$J$4:$J$103,MATCH($A796,'Cars'!$A$4:$A$103,0)))&gt;0,ROUND($I796/INDEX('Cars'!$J$4:$J$103,MATCH($A796,'Cars'!$A$4:$A$103,0))*30,0),""),""))</f>
        <v/>
      </c>
      <c r="L796" s="21">
        <f>IF(AND($J796="",$K796=""),"",MIN(IF($J796="",99999,$J796),IF($K796="",99999,$K796)))</f>
        <v/>
      </c>
      <c r="M796" s="16">
        <f>IF(AND($I796="",$J796=""),"",IF(OR(AND($I796&lt;&gt;"",N($I796)&lt;0),AND($J796&lt;&gt;"",N($J796)&lt;0)),"Overdue",IF(OR(AND($I796&lt;&gt;"",N($I796)&lt;=IFERROR(INDEX('Intervals'!$E$4:$E$33,MATCH($B796,'Intervals'!$A$4:$A$33,0)),500)),AND($J796&lt;&gt;"",N($J796)&lt;=IFERROR(INDEX('Intervals'!$F$4:$F$33,MATCH($B796,'Intervals'!$A$4:$A$33,0)),14))),"Due soon","OK")))</f>
        <v/>
      </c>
      <c r="N796" s="15" t="n"/>
      <c r="O796" s="22">
        <f>IF(OR($M796="",$M796="OK"),"",$L796+ROW()/100000)</f>
        <v/>
      </c>
    </row>
    <row r="797">
      <c r="A797" s="15" t="n"/>
      <c r="B797" s="15" t="n"/>
      <c r="C797" s="16">
        <f>IF($B797="","",IFERROR(INDEX('Intervals'!$B$4:$B$33,MATCH($B797,'Intervals'!$A$4:$A$33,0)),""))</f>
        <v/>
      </c>
      <c r="D797" s="17" t="n"/>
      <c r="E797" s="18" t="n"/>
      <c r="F797" s="19">
        <f>IF(OR($B797="",$E797=""),"",IFERROR(IF(AND(INDEX('Intervals'!$G$4:$G$33,MATCH($B797,'Intervals'!$A$4:$A$33,0))&lt;&gt;"No",N(INDEX('Intervals'!$C$4:$C$33,MATCH($B797,'Intervals'!$A$4:$A$33,0)))&gt;0),$E797+N(INDEX('Intervals'!$C$4:$C$33,MATCH($B797,'Intervals'!$A$4:$A$33,0))),""),""))</f>
        <v/>
      </c>
      <c r="G797" s="20">
        <f>IF(OR($B797="",$D797=""),"",IFERROR(IF(AND(INDEX('Intervals'!$G$4:$G$33,MATCH($B797,'Intervals'!$A$4:$A$33,0))&lt;&gt;"No",N(INDEX('Intervals'!$D$4:$D$33,MATCH($B797,'Intervals'!$A$4:$A$33,0)))&gt;0),EDATE($D797,N(INDEX('Intervals'!$D$4:$D$33,MATCH($B797,'Intervals'!$A$4:$A$33,0)))),""),""))</f>
        <v/>
      </c>
      <c r="H797" s="19">
        <f>IF($A797="","",IFERROR(IF(N(INDEX('Cars'!$H$4:$H$103,MATCH($A797,'Cars'!$A$4:$A$103,0)))&gt;0,INDEX('Cars'!$H$4:$H$103,MATCH($A797,'Cars'!$A$4:$A$103,0)),""),""))</f>
        <v/>
      </c>
      <c r="I797" s="19">
        <f>IF(OR($F797="",$H797=""),"",$F797-$H797)</f>
        <v/>
      </c>
      <c r="J797" s="21">
        <f>IF($G797="","",$G797-TODAY())</f>
        <v/>
      </c>
      <c r="K797" s="21">
        <f>IF($I797="","",IFERROR(IF(N(INDEX('Cars'!$J$4:$J$103,MATCH($A797,'Cars'!$A$4:$A$103,0)))&gt;0,ROUND($I797/INDEX('Cars'!$J$4:$J$103,MATCH($A797,'Cars'!$A$4:$A$103,0))*30,0),""),""))</f>
        <v/>
      </c>
      <c r="L797" s="21">
        <f>IF(AND($J797="",$K797=""),"",MIN(IF($J797="",99999,$J797),IF($K797="",99999,$K797)))</f>
        <v/>
      </c>
      <c r="M797" s="16">
        <f>IF(AND($I797="",$J797=""),"",IF(OR(AND($I797&lt;&gt;"",N($I797)&lt;0),AND($J797&lt;&gt;"",N($J797)&lt;0)),"Overdue",IF(OR(AND($I797&lt;&gt;"",N($I797)&lt;=IFERROR(INDEX('Intervals'!$E$4:$E$33,MATCH($B797,'Intervals'!$A$4:$A$33,0)),500)),AND($J797&lt;&gt;"",N($J797)&lt;=IFERROR(INDEX('Intervals'!$F$4:$F$33,MATCH($B797,'Intervals'!$A$4:$A$33,0)),14))),"Due soon","OK")))</f>
        <v/>
      </c>
      <c r="N797" s="15" t="n"/>
      <c r="O797" s="22">
        <f>IF(OR($M797="",$M797="OK"),"",$L797+ROW()/100000)</f>
        <v/>
      </c>
    </row>
    <row r="798">
      <c r="A798" s="15" t="n"/>
      <c r="B798" s="15" t="n"/>
      <c r="C798" s="16">
        <f>IF($B798="","",IFERROR(INDEX('Intervals'!$B$4:$B$33,MATCH($B798,'Intervals'!$A$4:$A$33,0)),""))</f>
        <v/>
      </c>
      <c r="D798" s="17" t="n"/>
      <c r="E798" s="18" t="n"/>
      <c r="F798" s="19">
        <f>IF(OR($B798="",$E798=""),"",IFERROR(IF(AND(INDEX('Intervals'!$G$4:$G$33,MATCH($B798,'Intervals'!$A$4:$A$33,0))&lt;&gt;"No",N(INDEX('Intervals'!$C$4:$C$33,MATCH($B798,'Intervals'!$A$4:$A$33,0)))&gt;0),$E798+N(INDEX('Intervals'!$C$4:$C$33,MATCH($B798,'Intervals'!$A$4:$A$33,0))),""),""))</f>
        <v/>
      </c>
      <c r="G798" s="20">
        <f>IF(OR($B798="",$D798=""),"",IFERROR(IF(AND(INDEX('Intervals'!$G$4:$G$33,MATCH($B798,'Intervals'!$A$4:$A$33,0))&lt;&gt;"No",N(INDEX('Intervals'!$D$4:$D$33,MATCH($B798,'Intervals'!$A$4:$A$33,0)))&gt;0),EDATE($D798,N(INDEX('Intervals'!$D$4:$D$33,MATCH($B798,'Intervals'!$A$4:$A$33,0)))),""),""))</f>
        <v/>
      </c>
      <c r="H798" s="19">
        <f>IF($A798="","",IFERROR(IF(N(INDEX('Cars'!$H$4:$H$103,MATCH($A798,'Cars'!$A$4:$A$103,0)))&gt;0,INDEX('Cars'!$H$4:$H$103,MATCH($A798,'Cars'!$A$4:$A$103,0)),""),""))</f>
        <v/>
      </c>
      <c r="I798" s="19">
        <f>IF(OR($F798="",$H798=""),"",$F798-$H798)</f>
        <v/>
      </c>
      <c r="J798" s="21">
        <f>IF($G798="","",$G798-TODAY())</f>
        <v/>
      </c>
      <c r="K798" s="21">
        <f>IF($I798="","",IFERROR(IF(N(INDEX('Cars'!$J$4:$J$103,MATCH($A798,'Cars'!$A$4:$A$103,0)))&gt;0,ROUND($I798/INDEX('Cars'!$J$4:$J$103,MATCH($A798,'Cars'!$A$4:$A$103,0))*30,0),""),""))</f>
        <v/>
      </c>
      <c r="L798" s="21">
        <f>IF(AND($J798="",$K798=""),"",MIN(IF($J798="",99999,$J798),IF($K798="",99999,$K798)))</f>
        <v/>
      </c>
      <c r="M798" s="16">
        <f>IF(AND($I798="",$J798=""),"",IF(OR(AND($I798&lt;&gt;"",N($I798)&lt;0),AND($J798&lt;&gt;"",N($J798)&lt;0)),"Overdue",IF(OR(AND($I798&lt;&gt;"",N($I798)&lt;=IFERROR(INDEX('Intervals'!$E$4:$E$33,MATCH($B798,'Intervals'!$A$4:$A$33,0)),500)),AND($J798&lt;&gt;"",N($J798)&lt;=IFERROR(INDEX('Intervals'!$F$4:$F$33,MATCH($B798,'Intervals'!$A$4:$A$33,0)),14))),"Due soon","OK")))</f>
        <v/>
      </c>
      <c r="N798" s="15" t="n"/>
      <c r="O798" s="22">
        <f>IF(OR($M798="",$M798="OK"),"",$L798+ROW()/100000)</f>
        <v/>
      </c>
    </row>
    <row r="799">
      <c r="A799" s="15" t="n"/>
      <c r="B799" s="15" t="n"/>
      <c r="C799" s="16">
        <f>IF($B799="","",IFERROR(INDEX('Intervals'!$B$4:$B$33,MATCH($B799,'Intervals'!$A$4:$A$33,0)),""))</f>
        <v/>
      </c>
      <c r="D799" s="17" t="n"/>
      <c r="E799" s="18" t="n"/>
      <c r="F799" s="19">
        <f>IF(OR($B799="",$E799=""),"",IFERROR(IF(AND(INDEX('Intervals'!$G$4:$G$33,MATCH($B799,'Intervals'!$A$4:$A$33,0))&lt;&gt;"No",N(INDEX('Intervals'!$C$4:$C$33,MATCH($B799,'Intervals'!$A$4:$A$33,0)))&gt;0),$E799+N(INDEX('Intervals'!$C$4:$C$33,MATCH($B799,'Intervals'!$A$4:$A$33,0))),""),""))</f>
        <v/>
      </c>
      <c r="G799" s="20">
        <f>IF(OR($B799="",$D799=""),"",IFERROR(IF(AND(INDEX('Intervals'!$G$4:$G$33,MATCH($B799,'Intervals'!$A$4:$A$33,0))&lt;&gt;"No",N(INDEX('Intervals'!$D$4:$D$33,MATCH($B799,'Intervals'!$A$4:$A$33,0)))&gt;0),EDATE($D799,N(INDEX('Intervals'!$D$4:$D$33,MATCH($B799,'Intervals'!$A$4:$A$33,0)))),""),""))</f>
        <v/>
      </c>
      <c r="H799" s="19">
        <f>IF($A799="","",IFERROR(IF(N(INDEX('Cars'!$H$4:$H$103,MATCH($A799,'Cars'!$A$4:$A$103,0)))&gt;0,INDEX('Cars'!$H$4:$H$103,MATCH($A799,'Cars'!$A$4:$A$103,0)),""),""))</f>
        <v/>
      </c>
      <c r="I799" s="19">
        <f>IF(OR($F799="",$H799=""),"",$F799-$H799)</f>
        <v/>
      </c>
      <c r="J799" s="21">
        <f>IF($G799="","",$G799-TODAY())</f>
        <v/>
      </c>
      <c r="K799" s="21">
        <f>IF($I799="","",IFERROR(IF(N(INDEX('Cars'!$J$4:$J$103,MATCH($A799,'Cars'!$A$4:$A$103,0)))&gt;0,ROUND($I799/INDEX('Cars'!$J$4:$J$103,MATCH($A799,'Cars'!$A$4:$A$103,0))*30,0),""),""))</f>
        <v/>
      </c>
      <c r="L799" s="21">
        <f>IF(AND($J799="",$K799=""),"",MIN(IF($J799="",99999,$J799),IF($K799="",99999,$K799)))</f>
        <v/>
      </c>
      <c r="M799" s="16">
        <f>IF(AND($I799="",$J799=""),"",IF(OR(AND($I799&lt;&gt;"",N($I799)&lt;0),AND($J799&lt;&gt;"",N($J799)&lt;0)),"Overdue",IF(OR(AND($I799&lt;&gt;"",N($I799)&lt;=IFERROR(INDEX('Intervals'!$E$4:$E$33,MATCH($B799,'Intervals'!$A$4:$A$33,0)),500)),AND($J799&lt;&gt;"",N($J799)&lt;=IFERROR(INDEX('Intervals'!$F$4:$F$33,MATCH($B799,'Intervals'!$A$4:$A$33,0)),14))),"Due soon","OK")))</f>
        <v/>
      </c>
      <c r="N799" s="15" t="n"/>
      <c r="O799" s="22">
        <f>IF(OR($M799="",$M799="OK"),"",$L799+ROW()/100000)</f>
        <v/>
      </c>
    </row>
    <row r="800">
      <c r="A800" s="15" t="n"/>
      <c r="B800" s="15" t="n"/>
      <c r="C800" s="16">
        <f>IF($B800="","",IFERROR(INDEX('Intervals'!$B$4:$B$33,MATCH($B800,'Intervals'!$A$4:$A$33,0)),""))</f>
        <v/>
      </c>
      <c r="D800" s="17" t="n"/>
      <c r="E800" s="18" t="n"/>
      <c r="F800" s="19">
        <f>IF(OR($B800="",$E800=""),"",IFERROR(IF(AND(INDEX('Intervals'!$G$4:$G$33,MATCH($B800,'Intervals'!$A$4:$A$33,0))&lt;&gt;"No",N(INDEX('Intervals'!$C$4:$C$33,MATCH($B800,'Intervals'!$A$4:$A$33,0)))&gt;0),$E800+N(INDEX('Intervals'!$C$4:$C$33,MATCH($B800,'Intervals'!$A$4:$A$33,0))),""),""))</f>
        <v/>
      </c>
      <c r="G800" s="20">
        <f>IF(OR($B800="",$D800=""),"",IFERROR(IF(AND(INDEX('Intervals'!$G$4:$G$33,MATCH($B800,'Intervals'!$A$4:$A$33,0))&lt;&gt;"No",N(INDEX('Intervals'!$D$4:$D$33,MATCH($B800,'Intervals'!$A$4:$A$33,0)))&gt;0),EDATE($D800,N(INDEX('Intervals'!$D$4:$D$33,MATCH($B800,'Intervals'!$A$4:$A$33,0)))),""),""))</f>
        <v/>
      </c>
      <c r="H800" s="19">
        <f>IF($A800="","",IFERROR(IF(N(INDEX('Cars'!$H$4:$H$103,MATCH($A800,'Cars'!$A$4:$A$103,0)))&gt;0,INDEX('Cars'!$H$4:$H$103,MATCH($A800,'Cars'!$A$4:$A$103,0)),""),""))</f>
        <v/>
      </c>
      <c r="I800" s="19">
        <f>IF(OR($F800="",$H800=""),"",$F800-$H800)</f>
        <v/>
      </c>
      <c r="J800" s="21">
        <f>IF($G800="","",$G800-TODAY())</f>
        <v/>
      </c>
      <c r="K800" s="21">
        <f>IF($I800="","",IFERROR(IF(N(INDEX('Cars'!$J$4:$J$103,MATCH($A800,'Cars'!$A$4:$A$103,0)))&gt;0,ROUND($I800/INDEX('Cars'!$J$4:$J$103,MATCH($A800,'Cars'!$A$4:$A$103,0))*30,0),""),""))</f>
        <v/>
      </c>
      <c r="L800" s="21">
        <f>IF(AND($J800="",$K800=""),"",MIN(IF($J800="",99999,$J800),IF($K800="",99999,$K800)))</f>
        <v/>
      </c>
      <c r="M800" s="16">
        <f>IF(AND($I800="",$J800=""),"",IF(OR(AND($I800&lt;&gt;"",N($I800)&lt;0),AND($J800&lt;&gt;"",N($J800)&lt;0)),"Overdue",IF(OR(AND($I800&lt;&gt;"",N($I800)&lt;=IFERROR(INDEX('Intervals'!$E$4:$E$33,MATCH($B800,'Intervals'!$A$4:$A$33,0)),500)),AND($J800&lt;&gt;"",N($J800)&lt;=IFERROR(INDEX('Intervals'!$F$4:$F$33,MATCH($B800,'Intervals'!$A$4:$A$33,0)),14))),"Due soon","OK")))</f>
        <v/>
      </c>
      <c r="N800" s="15" t="n"/>
      <c r="O800" s="22">
        <f>IF(OR($M800="",$M800="OK"),"",$L800+ROW()/100000)</f>
        <v/>
      </c>
    </row>
    <row r="801">
      <c r="A801" s="15" t="n"/>
      <c r="B801" s="15" t="n"/>
      <c r="C801" s="16">
        <f>IF($B801="","",IFERROR(INDEX('Intervals'!$B$4:$B$33,MATCH($B801,'Intervals'!$A$4:$A$33,0)),""))</f>
        <v/>
      </c>
      <c r="D801" s="17" t="n"/>
      <c r="E801" s="18" t="n"/>
      <c r="F801" s="19">
        <f>IF(OR($B801="",$E801=""),"",IFERROR(IF(AND(INDEX('Intervals'!$G$4:$G$33,MATCH($B801,'Intervals'!$A$4:$A$33,0))&lt;&gt;"No",N(INDEX('Intervals'!$C$4:$C$33,MATCH($B801,'Intervals'!$A$4:$A$33,0)))&gt;0),$E801+N(INDEX('Intervals'!$C$4:$C$33,MATCH($B801,'Intervals'!$A$4:$A$33,0))),""),""))</f>
        <v/>
      </c>
      <c r="G801" s="20">
        <f>IF(OR($B801="",$D801=""),"",IFERROR(IF(AND(INDEX('Intervals'!$G$4:$G$33,MATCH($B801,'Intervals'!$A$4:$A$33,0))&lt;&gt;"No",N(INDEX('Intervals'!$D$4:$D$33,MATCH($B801,'Intervals'!$A$4:$A$33,0)))&gt;0),EDATE($D801,N(INDEX('Intervals'!$D$4:$D$33,MATCH($B801,'Intervals'!$A$4:$A$33,0)))),""),""))</f>
        <v/>
      </c>
      <c r="H801" s="19">
        <f>IF($A801="","",IFERROR(IF(N(INDEX('Cars'!$H$4:$H$103,MATCH($A801,'Cars'!$A$4:$A$103,0)))&gt;0,INDEX('Cars'!$H$4:$H$103,MATCH($A801,'Cars'!$A$4:$A$103,0)),""),""))</f>
        <v/>
      </c>
      <c r="I801" s="19">
        <f>IF(OR($F801="",$H801=""),"",$F801-$H801)</f>
        <v/>
      </c>
      <c r="J801" s="21">
        <f>IF($G801="","",$G801-TODAY())</f>
        <v/>
      </c>
      <c r="K801" s="21">
        <f>IF($I801="","",IFERROR(IF(N(INDEX('Cars'!$J$4:$J$103,MATCH($A801,'Cars'!$A$4:$A$103,0)))&gt;0,ROUND($I801/INDEX('Cars'!$J$4:$J$103,MATCH($A801,'Cars'!$A$4:$A$103,0))*30,0),""),""))</f>
        <v/>
      </c>
      <c r="L801" s="21">
        <f>IF(AND($J801="",$K801=""),"",MIN(IF($J801="",99999,$J801),IF($K801="",99999,$K801)))</f>
        <v/>
      </c>
      <c r="M801" s="16">
        <f>IF(AND($I801="",$J801=""),"",IF(OR(AND($I801&lt;&gt;"",N($I801)&lt;0),AND($J801&lt;&gt;"",N($J801)&lt;0)),"Overdue",IF(OR(AND($I801&lt;&gt;"",N($I801)&lt;=IFERROR(INDEX('Intervals'!$E$4:$E$33,MATCH($B801,'Intervals'!$A$4:$A$33,0)),500)),AND($J801&lt;&gt;"",N($J801)&lt;=IFERROR(INDEX('Intervals'!$F$4:$F$33,MATCH($B801,'Intervals'!$A$4:$A$33,0)),14))),"Due soon","OK")))</f>
        <v/>
      </c>
      <c r="N801" s="15" t="n"/>
      <c r="O801" s="22">
        <f>IF(OR($M801="",$M801="OK"),"",$L801+ROW()/100000)</f>
        <v/>
      </c>
    </row>
    <row r="802">
      <c r="A802" s="15" t="n"/>
      <c r="B802" s="15" t="n"/>
      <c r="C802" s="16">
        <f>IF($B802="","",IFERROR(INDEX('Intervals'!$B$4:$B$33,MATCH($B802,'Intervals'!$A$4:$A$33,0)),""))</f>
        <v/>
      </c>
      <c r="D802" s="17" t="n"/>
      <c r="E802" s="18" t="n"/>
      <c r="F802" s="19">
        <f>IF(OR($B802="",$E802=""),"",IFERROR(IF(AND(INDEX('Intervals'!$G$4:$G$33,MATCH($B802,'Intervals'!$A$4:$A$33,0))&lt;&gt;"No",N(INDEX('Intervals'!$C$4:$C$33,MATCH($B802,'Intervals'!$A$4:$A$33,0)))&gt;0),$E802+N(INDEX('Intervals'!$C$4:$C$33,MATCH($B802,'Intervals'!$A$4:$A$33,0))),""),""))</f>
        <v/>
      </c>
      <c r="G802" s="20">
        <f>IF(OR($B802="",$D802=""),"",IFERROR(IF(AND(INDEX('Intervals'!$G$4:$G$33,MATCH($B802,'Intervals'!$A$4:$A$33,0))&lt;&gt;"No",N(INDEX('Intervals'!$D$4:$D$33,MATCH($B802,'Intervals'!$A$4:$A$33,0)))&gt;0),EDATE($D802,N(INDEX('Intervals'!$D$4:$D$33,MATCH($B802,'Intervals'!$A$4:$A$33,0)))),""),""))</f>
        <v/>
      </c>
      <c r="H802" s="19">
        <f>IF($A802="","",IFERROR(IF(N(INDEX('Cars'!$H$4:$H$103,MATCH($A802,'Cars'!$A$4:$A$103,0)))&gt;0,INDEX('Cars'!$H$4:$H$103,MATCH($A802,'Cars'!$A$4:$A$103,0)),""),""))</f>
        <v/>
      </c>
      <c r="I802" s="19">
        <f>IF(OR($F802="",$H802=""),"",$F802-$H802)</f>
        <v/>
      </c>
      <c r="J802" s="21">
        <f>IF($G802="","",$G802-TODAY())</f>
        <v/>
      </c>
      <c r="K802" s="21">
        <f>IF($I802="","",IFERROR(IF(N(INDEX('Cars'!$J$4:$J$103,MATCH($A802,'Cars'!$A$4:$A$103,0)))&gt;0,ROUND($I802/INDEX('Cars'!$J$4:$J$103,MATCH($A802,'Cars'!$A$4:$A$103,0))*30,0),""),""))</f>
        <v/>
      </c>
      <c r="L802" s="21">
        <f>IF(AND($J802="",$K802=""),"",MIN(IF($J802="",99999,$J802),IF($K802="",99999,$K802)))</f>
        <v/>
      </c>
      <c r="M802" s="16">
        <f>IF(AND($I802="",$J802=""),"",IF(OR(AND($I802&lt;&gt;"",N($I802)&lt;0),AND($J802&lt;&gt;"",N($J802)&lt;0)),"Overdue",IF(OR(AND($I802&lt;&gt;"",N($I802)&lt;=IFERROR(INDEX('Intervals'!$E$4:$E$33,MATCH($B802,'Intervals'!$A$4:$A$33,0)),500)),AND($J802&lt;&gt;"",N($J802)&lt;=IFERROR(INDEX('Intervals'!$F$4:$F$33,MATCH($B802,'Intervals'!$A$4:$A$33,0)),14))),"Due soon","OK")))</f>
        <v/>
      </c>
      <c r="N802" s="15" t="n"/>
      <c r="O802" s="22">
        <f>IF(OR($M802="",$M802="OK"),"",$L802+ROW()/100000)</f>
        <v/>
      </c>
    </row>
    <row r="803">
      <c r="A803" s="15" t="n"/>
      <c r="B803" s="15" t="n"/>
      <c r="C803" s="16">
        <f>IF($B803="","",IFERROR(INDEX('Intervals'!$B$4:$B$33,MATCH($B803,'Intervals'!$A$4:$A$33,0)),""))</f>
        <v/>
      </c>
      <c r="D803" s="17" t="n"/>
      <c r="E803" s="18" t="n"/>
      <c r="F803" s="19">
        <f>IF(OR($B803="",$E803=""),"",IFERROR(IF(AND(INDEX('Intervals'!$G$4:$G$33,MATCH($B803,'Intervals'!$A$4:$A$33,0))&lt;&gt;"No",N(INDEX('Intervals'!$C$4:$C$33,MATCH($B803,'Intervals'!$A$4:$A$33,0)))&gt;0),$E803+N(INDEX('Intervals'!$C$4:$C$33,MATCH($B803,'Intervals'!$A$4:$A$33,0))),""),""))</f>
        <v/>
      </c>
      <c r="G803" s="20">
        <f>IF(OR($B803="",$D803=""),"",IFERROR(IF(AND(INDEX('Intervals'!$G$4:$G$33,MATCH($B803,'Intervals'!$A$4:$A$33,0))&lt;&gt;"No",N(INDEX('Intervals'!$D$4:$D$33,MATCH($B803,'Intervals'!$A$4:$A$33,0)))&gt;0),EDATE($D803,N(INDEX('Intervals'!$D$4:$D$33,MATCH($B803,'Intervals'!$A$4:$A$33,0)))),""),""))</f>
        <v/>
      </c>
      <c r="H803" s="19">
        <f>IF($A803="","",IFERROR(IF(N(INDEX('Cars'!$H$4:$H$103,MATCH($A803,'Cars'!$A$4:$A$103,0)))&gt;0,INDEX('Cars'!$H$4:$H$103,MATCH($A803,'Cars'!$A$4:$A$103,0)),""),""))</f>
        <v/>
      </c>
      <c r="I803" s="19">
        <f>IF(OR($F803="",$H803=""),"",$F803-$H803)</f>
        <v/>
      </c>
      <c r="J803" s="21">
        <f>IF($G803="","",$G803-TODAY())</f>
        <v/>
      </c>
      <c r="K803" s="21">
        <f>IF($I803="","",IFERROR(IF(N(INDEX('Cars'!$J$4:$J$103,MATCH($A803,'Cars'!$A$4:$A$103,0)))&gt;0,ROUND($I803/INDEX('Cars'!$J$4:$J$103,MATCH($A803,'Cars'!$A$4:$A$103,0))*30,0),""),""))</f>
        <v/>
      </c>
      <c r="L803" s="21">
        <f>IF(AND($J803="",$K803=""),"",MIN(IF($J803="",99999,$J803),IF($K803="",99999,$K803)))</f>
        <v/>
      </c>
      <c r="M803" s="16">
        <f>IF(AND($I803="",$J803=""),"",IF(OR(AND($I803&lt;&gt;"",N($I803)&lt;0),AND($J803&lt;&gt;"",N($J803)&lt;0)),"Overdue",IF(OR(AND($I803&lt;&gt;"",N($I803)&lt;=IFERROR(INDEX('Intervals'!$E$4:$E$33,MATCH($B803,'Intervals'!$A$4:$A$33,0)),500)),AND($J803&lt;&gt;"",N($J803)&lt;=IFERROR(INDEX('Intervals'!$F$4:$F$33,MATCH($B803,'Intervals'!$A$4:$A$33,0)),14))),"Due soon","OK")))</f>
        <v/>
      </c>
      <c r="N803" s="15" t="n"/>
      <c r="O803" s="22">
        <f>IF(OR($M803="",$M803="OK"),"",$L803+ROW()/100000)</f>
        <v/>
      </c>
    </row>
    <row r="804">
      <c r="A804" s="15" t="n"/>
      <c r="B804" s="15" t="n"/>
      <c r="C804" s="16">
        <f>IF($B804="","",IFERROR(INDEX('Intervals'!$B$4:$B$33,MATCH($B804,'Intervals'!$A$4:$A$33,0)),""))</f>
        <v/>
      </c>
      <c r="D804" s="17" t="n"/>
      <c r="E804" s="18" t="n"/>
      <c r="F804" s="19">
        <f>IF(OR($B804="",$E804=""),"",IFERROR(IF(AND(INDEX('Intervals'!$G$4:$G$33,MATCH($B804,'Intervals'!$A$4:$A$33,0))&lt;&gt;"No",N(INDEX('Intervals'!$C$4:$C$33,MATCH($B804,'Intervals'!$A$4:$A$33,0)))&gt;0),$E804+N(INDEX('Intervals'!$C$4:$C$33,MATCH($B804,'Intervals'!$A$4:$A$33,0))),""),""))</f>
        <v/>
      </c>
      <c r="G804" s="20">
        <f>IF(OR($B804="",$D804=""),"",IFERROR(IF(AND(INDEX('Intervals'!$G$4:$G$33,MATCH($B804,'Intervals'!$A$4:$A$33,0))&lt;&gt;"No",N(INDEX('Intervals'!$D$4:$D$33,MATCH($B804,'Intervals'!$A$4:$A$33,0)))&gt;0),EDATE($D804,N(INDEX('Intervals'!$D$4:$D$33,MATCH($B804,'Intervals'!$A$4:$A$33,0)))),""),""))</f>
        <v/>
      </c>
      <c r="H804" s="19">
        <f>IF($A804="","",IFERROR(IF(N(INDEX('Cars'!$H$4:$H$103,MATCH($A804,'Cars'!$A$4:$A$103,0)))&gt;0,INDEX('Cars'!$H$4:$H$103,MATCH($A804,'Cars'!$A$4:$A$103,0)),""),""))</f>
        <v/>
      </c>
      <c r="I804" s="19">
        <f>IF(OR($F804="",$H804=""),"",$F804-$H804)</f>
        <v/>
      </c>
      <c r="J804" s="21">
        <f>IF($G804="","",$G804-TODAY())</f>
        <v/>
      </c>
      <c r="K804" s="21">
        <f>IF($I804="","",IFERROR(IF(N(INDEX('Cars'!$J$4:$J$103,MATCH($A804,'Cars'!$A$4:$A$103,0)))&gt;0,ROUND($I804/INDEX('Cars'!$J$4:$J$103,MATCH($A804,'Cars'!$A$4:$A$103,0))*30,0),""),""))</f>
        <v/>
      </c>
      <c r="L804" s="21">
        <f>IF(AND($J804="",$K804=""),"",MIN(IF($J804="",99999,$J804),IF($K804="",99999,$K804)))</f>
        <v/>
      </c>
      <c r="M804" s="16">
        <f>IF(AND($I804="",$J804=""),"",IF(OR(AND($I804&lt;&gt;"",N($I804)&lt;0),AND($J804&lt;&gt;"",N($J804)&lt;0)),"Overdue",IF(OR(AND($I804&lt;&gt;"",N($I804)&lt;=IFERROR(INDEX('Intervals'!$E$4:$E$33,MATCH($B804,'Intervals'!$A$4:$A$33,0)),500)),AND($J804&lt;&gt;"",N($J804)&lt;=IFERROR(INDEX('Intervals'!$F$4:$F$33,MATCH($B804,'Intervals'!$A$4:$A$33,0)),14))),"Due soon","OK")))</f>
        <v/>
      </c>
      <c r="N804" s="15" t="n"/>
      <c r="O804" s="22">
        <f>IF(OR($M804="",$M804="OK"),"",$L804+ROW()/100000)</f>
        <v/>
      </c>
    </row>
    <row r="805">
      <c r="A805" s="15" t="n"/>
      <c r="B805" s="15" t="n"/>
      <c r="C805" s="16">
        <f>IF($B805="","",IFERROR(INDEX('Intervals'!$B$4:$B$33,MATCH($B805,'Intervals'!$A$4:$A$33,0)),""))</f>
        <v/>
      </c>
      <c r="D805" s="17" t="n"/>
      <c r="E805" s="18" t="n"/>
      <c r="F805" s="19">
        <f>IF(OR($B805="",$E805=""),"",IFERROR(IF(AND(INDEX('Intervals'!$G$4:$G$33,MATCH($B805,'Intervals'!$A$4:$A$33,0))&lt;&gt;"No",N(INDEX('Intervals'!$C$4:$C$33,MATCH($B805,'Intervals'!$A$4:$A$33,0)))&gt;0),$E805+N(INDEX('Intervals'!$C$4:$C$33,MATCH($B805,'Intervals'!$A$4:$A$33,0))),""),""))</f>
        <v/>
      </c>
      <c r="G805" s="20">
        <f>IF(OR($B805="",$D805=""),"",IFERROR(IF(AND(INDEX('Intervals'!$G$4:$G$33,MATCH($B805,'Intervals'!$A$4:$A$33,0))&lt;&gt;"No",N(INDEX('Intervals'!$D$4:$D$33,MATCH($B805,'Intervals'!$A$4:$A$33,0)))&gt;0),EDATE($D805,N(INDEX('Intervals'!$D$4:$D$33,MATCH($B805,'Intervals'!$A$4:$A$33,0)))),""),""))</f>
        <v/>
      </c>
      <c r="H805" s="19">
        <f>IF($A805="","",IFERROR(IF(N(INDEX('Cars'!$H$4:$H$103,MATCH($A805,'Cars'!$A$4:$A$103,0)))&gt;0,INDEX('Cars'!$H$4:$H$103,MATCH($A805,'Cars'!$A$4:$A$103,0)),""),""))</f>
        <v/>
      </c>
      <c r="I805" s="19">
        <f>IF(OR($F805="",$H805=""),"",$F805-$H805)</f>
        <v/>
      </c>
      <c r="J805" s="21">
        <f>IF($G805="","",$G805-TODAY())</f>
        <v/>
      </c>
      <c r="K805" s="21">
        <f>IF($I805="","",IFERROR(IF(N(INDEX('Cars'!$J$4:$J$103,MATCH($A805,'Cars'!$A$4:$A$103,0)))&gt;0,ROUND($I805/INDEX('Cars'!$J$4:$J$103,MATCH($A805,'Cars'!$A$4:$A$103,0))*30,0),""),""))</f>
        <v/>
      </c>
      <c r="L805" s="21">
        <f>IF(AND($J805="",$K805=""),"",MIN(IF($J805="",99999,$J805),IF($K805="",99999,$K805)))</f>
        <v/>
      </c>
      <c r="M805" s="16">
        <f>IF(AND($I805="",$J805=""),"",IF(OR(AND($I805&lt;&gt;"",N($I805)&lt;0),AND($J805&lt;&gt;"",N($J805)&lt;0)),"Overdue",IF(OR(AND($I805&lt;&gt;"",N($I805)&lt;=IFERROR(INDEX('Intervals'!$E$4:$E$33,MATCH($B805,'Intervals'!$A$4:$A$33,0)),500)),AND($J805&lt;&gt;"",N($J805)&lt;=IFERROR(INDEX('Intervals'!$F$4:$F$33,MATCH($B805,'Intervals'!$A$4:$A$33,0)),14))),"Due soon","OK")))</f>
        <v/>
      </c>
      <c r="N805" s="15" t="n"/>
      <c r="O805" s="22">
        <f>IF(OR($M805="",$M805="OK"),"",$L805+ROW()/100000)</f>
        <v/>
      </c>
    </row>
    <row r="806">
      <c r="A806" s="15" t="n"/>
      <c r="B806" s="15" t="n"/>
      <c r="C806" s="16">
        <f>IF($B806="","",IFERROR(INDEX('Intervals'!$B$4:$B$33,MATCH($B806,'Intervals'!$A$4:$A$33,0)),""))</f>
        <v/>
      </c>
      <c r="D806" s="17" t="n"/>
      <c r="E806" s="18" t="n"/>
      <c r="F806" s="19">
        <f>IF(OR($B806="",$E806=""),"",IFERROR(IF(AND(INDEX('Intervals'!$G$4:$G$33,MATCH($B806,'Intervals'!$A$4:$A$33,0))&lt;&gt;"No",N(INDEX('Intervals'!$C$4:$C$33,MATCH($B806,'Intervals'!$A$4:$A$33,0)))&gt;0),$E806+N(INDEX('Intervals'!$C$4:$C$33,MATCH($B806,'Intervals'!$A$4:$A$33,0))),""),""))</f>
        <v/>
      </c>
      <c r="G806" s="20">
        <f>IF(OR($B806="",$D806=""),"",IFERROR(IF(AND(INDEX('Intervals'!$G$4:$G$33,MATCH($B806,'Intervals'!$A$4:$A$33,0))&lt;&gt;"No",N(INDEX('Intervals'!$D$4:$D$33,MATCH($B806,'Intervals'!$A$4:$A$33,0)))&gt;0),EDATE($D806,N(INDEX('Intervals'!$D$4:$D$33,MATCH($B806,'Intervals'!$A$4:$A$33,0)))),""),""))</f>
        <v/>
      </c>
      <c r="H806" s="19">
        <f>IF($A806="","",IFERROR(IF(N(INDEX('Cars'!$H$4:$H$103,MATCH($A806,'Cars'!$A$4:$A$103,0)))&gt;0,INDEX('Cars'!$H$4:$H$103,MATCH($A806,'Cars'!$A$4:$A$103,0)),""),""))</f>
        <v/>
      </c>
      <c r="I806" s="19">
        <f>IF(OR($F806="",$H806=""),"",$F806-$H806)</f>
        <v/>
      </c>
      <c r="J806" s="21">
        <f>IF($G806="","",$G806-TODAY())</f>
        <v/>
      </c>
      <c r="K806" s="21">
        <f>IF($I806="","",IFERROR(IF(N(INDEX('Cars'!$J$4:$J$103,MATCH($A806,'Cars'!$A$4:$A$103,0)))&gt;0,ROUND($I806/INDEX('Cars'!$J$4:$J$103,MATCH($A806,'Cars'!$A$4:$A$103,0))*30,0),""),""))</f>
        <v/>
      </c>
      <c r="L806" s="21">
        <f>IF(AND($J806="",$K806=""),"",MIN(IF($J806="",99999,$J806),IF($K806="",99999,$K806)))</f>
        <v/>
      </c>
      <c r="M806" s="16">
        <f>IF(AND($I806="",$J806=""),"",IF(OR(AND($I806&lt;&gt;"",N($I806)&lt;0),AND($J806&lt;&gt;"",N($J806)&lt;0)),"Overdue",IF(OR(AND($I806&lt;&gt;"",N($I806)&lt;=IFERROR(INDEX('Intervals'!$E$4:$E$33,MATCH($B806,'Intervals'!$A$4:$A$33,0)),500)),AND($J806&lt;&gt;"",N($J806)&lt;=IFERROR(INDEX('Intervals'!$F$4:$F$33,MATCH($B806,'Intervals'!$A$4:$A$33,0)),14))),"Due soon","OK")))</f>
        <v/>
      </c>
      <c r="N806" s="15" t="n"/>
      <c r="O806" s="22">
        <f>IF(OR($M806="",$M806="OK"),"",$L806+ROW()/100000)</f>
        <v/>
      </c>
    </row>
    <row r="807">
      <c r="A807" s="15" t="n"/>
      <c r="B807" s="15" t="n"/>
      <c r="C807" s="16">
        <f>IF($B807="","",IFERROR(INDEX('Intervals'!$B$4:$B$33,MATCH($B807,'Intervals'!$A$4:$A$33,0)),""))</f>
        <v/>
      </c>
      <c r="D807" s="17" t="n"/>
      <c r="E807" s="18" t="n"/>
      <c r="F807" s="19">
        <f>IF(OR($B807="",$E807=""),"",IFERROR(IF(AND(INDEX('Intervals'!$G$4:$G$33,MATCH($B807,'Intervals'!$A$4:$A$33,0))&lt;&gt;"No",N(INDEX('Intervals'!$C$4:$C$33,MATCH($B807,'Intervals'!$A$4:$A$33,0)))&gt;0),$E807+N(INDEX('Intervals'!$C$4:$C$33,MATCH($B807,'Intervals'!$A$4:$A$33,0))),""),""))</f>
        <v/>
      </c>
      <c r="G807" s="20">
        <f>IF(OR($B807="",$D807=""),"",IFERROR(IF(AND(INDEX('Intervals'!$G$4:$G$33,MATCH($B807,'Intervals'!$A$4:$A$33,0))&lt;&gt;"No",N(INDEX('Intervals'!$D$4:$D$33,MATCH($B807,'Intervals'!$A$4:$A$33,0)))&gt;0),EDATE($D807,N(INDEX('Intervals'!$D$4:$D$33,MATCH($B807,'Intervals'!$A$4:$A$33,0)))),""),""))</f>
        <v/>
      </c>
      <c r="H807" s="19">
        <f>IF($A807="","",IFERROR(IF(N(INDEX('Cars'!$H$4:$H$103,MATCH($A807,'Cars'!$A$4:$A$103,0)))&gt;0,INDEX('Cars'!$H$4:$H$103,MATCH($A807,'Cars'!$A$4:$A$103,0)),""),""))</f>
        <v/>
      </c>
      <c r="I807" s="19">
        <f>IF(OR($F807="",$H807=""),"",$F807-$H807)</f>
        <v/>
      </c>
      <c r="J807" s="21">
        <f>IF($G807="","",$G807-TODAY())</f>
        <v/>
      </c>
      <c r="K807" s="21">
        <f>IF($I807="","",IFERROR(IF(N(INDEX('Cars'!$J$4:$J$103,MATCH($A807,'Cars'!$A$4:$A$103,0)))&gt;0,ROUND($I807/INDEX('Cars'!$J$4:$J$103,MATCH($A807,'Cars'!$A$4:$A$103,0))*30,0),""),""))</f>
        <v/>
      </c>
      <c r="L807" s="21">
        <f>IF(AND($J807="",$K807=""),"",MIN(IF($J807="",99999,$J807),IF($K807="",99999,$K807)))</f>
        <v/>
      </c>
      <c r="M807" s="16">
        <f>IF(AND($I807="",$J807=""),"",IF(OR(AND($I807&lt;&gt;"",N($I807)&lt;0),AND($J807&lt;&gt;"",N($J807)&lt;0)),"Overdue",IF(OR(AND($I807&lt;&gt;"",N($I807)&lt;=IFERROR(INDEX('Intervals'!$E$4:$E$33,MATCH($B807,'Intervals'!$A$4:$A$33,0)),500)),AND($J807&lt;&gt;"",N($J807)&lt;=IFERROR(INDEX('Intervals'!$F$4:$F$33,MATCH($B807,'Intervals'!$A$4:$A$33,0)),14))),"Due soon","OK")))</f>
        <v/>
      </c>
      <c r="N807" s="15" t="n"/>
      <c r="O807" s="22">
        <f>IF(OR($M807="",$M807="OK"),"",$L807+ROW()/100000)</f>
        <v/>
      </c>
    </row>
    <row r="808">
      <c r="A808" s="15" t="n"/>
      <c r="B808" s="15" t="n"/>
      <c r="C808" s="16">
        <f>IF($B808="","",IFERROR(INDEX('Intervals'!$B$4:$B$33,MATCH($B808,'Intervals'!$A$4:$A$33,0)),""))</f>
        <v/>
      </c>
      <c r="D808" s="17" t="n"/>
      <c r="E808" s="18" t="n"/>
      <c r="F808" s="19">
        <f>IF(OR($B808="",$E808=""),"",IFERROR(IF(AND(INDEX('Intervals'!$G$4:$G$33,MATCH($B808,'Intervals'!$A$4:$A$33,0))&lt;&gt;"No",N(INDEX('Intervals'!$C$4:$C$33,MATCH($B808,'Intervals'!$A$4:$A$33,0)))&gt;0),$E808+N(INDEX('Intervals'!$C$4:$C$33,MATCH($B808,'Intervals'!$A$4:$A$33,0))),""),""))</f>
        <v/>
      </c>
      <c r="G808" s="20">
        <f>IF(OR($B808="",$D808=""),"",IFERROR(IF(AND(INDEX('Intervals'!$G$4:$G$33,MATCH($B808,'Intervals'!$A$4:$A$33,0))&lt;&gt;"No",N(INDEX('Intervals'!$D$4:$D$33,MATCH($B808,'Intervals'!$A$4:$A$33,0)))&gt;0),EDATE($D808,N(INDEX('Intervals'!$D$4:$D$33,MATCH($B808,'Intervals'!$A$4:$A$33,0)))),""),""))</f>
        <v/>
      </c>
      <c r="H808" s="19">
        <f>IF($A808="","",IFERROR(IF(N(INDEX('Cars'!$H$4:$H$103,MATCH($A808,'Cars'!$A$4:$A$103,0)))&gt;0,INDEX('Cars'!$H$4:$H$103,MATCH($A808,'Cars'!$A$4:$A$103,0)),""),""))</f>
        <v/>
      </c>
      <c r="I808" s="19">
        <f>IF(OR($F808="",$H808=""),"",$F808-$H808)</f>
        <v/>
      </c>
      <c r="J808" s="21">
        <f>IF($G808="","",$G808-TODAY())</f>
        <v/>
      </c>
      <c r="K808" s="21">
        <f>IF($I808="","",IFERROR(IF(N(INDEX('Cars'!$J$4:$J$103,MATCH($A808,'Cars'!$A$4:$A$103,0)))&gt;0,ROUND($I808/INDEX('Cars'!$J$4:$J$103,MATCH($A808,'Cars'!$A$4:$A$103,0))*30,0),""),""))</f>
        <v/>
      </c>
      <c r="L808" s="21">
        <f>IF(AND($J808="",$K808=""),"",MIN(IF($J808="",99999,$J808),IF($K808="",99999,$K808)))</f>
        <v/>
      </c>
      <c r="M808" s="16">
        <f>IF(AND($I808="",$J808=""),"",IF(OR(AND($I808&lt;&gt;"",N($I808)&lt;0),AND($J808&lt;&gt;"",N($J808)&lt;0)),"Overdue",IF(OR(AND($I808&lt;&gt;"",N($I808)&lt;=IFERROR(INDEX('Intervals'!$E$4:$E$33,MATCH($B808,'Intervals'!$A$4:$A$33,0)),500)),AND($J808&lt;&gt;"",N($J808)&lt;=IFERROR(INDEX('Intervals'!$F$4:$F$33,MATCH($B808,'Intervals'!$A$4:$A$33,0)),14))),"Due soon","OK")))</f>
        <v/>
      </c>
      <c r="N808" s="15" t="n"/>
      <c r="O808" s="22">
        <f>IF(OR($M808="",$M808="OK"),"",$L808+ROW()/100000)</f>
        <v/>
      </c>
    </row>
    <row r="809">
      <c r="A809" s="15" t="n"/>
      <c r="B809" s="15" t="n"/>
      <c r="C809" s="16">
        <f>IF($B809="","",IFERROR(INDEX('Intervals'!$B$4:$B$33,MATCH($B809,'Intervals'!$A$4:$A$33,0)),""))</f>
        <v/>
      </c>
      <c r="D809" s="17" t="n"/>
      <c r="E809" s="18" t="n"/>
      <c r="F809" s="19">
        <f>IF(OR($B809="",$E809=""),"",IFERROR(IF(AND(INDEX('Intervals'!$G$4:$G$33,MATCH($B809,'Intervals'!$A$4:$A$33,0))&lt;&gt;"No",N(INDEX('Intervals'!$C$4:$C$33,MATCH($B809,'Intervals'!$A$4:$A$33,0)))&gt;0),$E809+N(INDEX('Intervals'!$C$4:$C$33,MATCH($B809,'Intervals'!$A$4:$A$33,0))),""),""))</f>
        <v/>
      </c>
      <c r="G809" s="20">
        <f>IF(OR($B809="",$D809=""),"",IFERROR(IF(AND(INDEX('Intervals'!$G$4:$G$33,MATCH($B809,'Intervals'!$A$4:$A$33,0))&lt;&gt;"No",N(INDEX('Intervals'!$D$4:$D$33,MATCH($B809,'Intervals'!$A$4:$A$33,0)))&gt;0),EDATE($D809,N(INDEX('Intervals'!$D$4:$D$33,MATCH($B809,'Intervals'!$A$4:$A$33,0)))),""),""))</f>
        <v/>
      </c>
      <c r="H809" s="19">
        <f>IF($A809="","",IFERROR(IF(N(INDEX('Cars'!$H$4:$H$103,MATCH($A809,'Cars'!$A$4:$A$103,0)))&gt;0,INDEX('Cars'!$H$4:$H$103,MATCH($A809,'Cars'!$A$4:$A$103,0)),""),""))</f>
        <v/>
      </c>
      <c r="I809" s="19">
        <f>IF(OR($F809="",$H809=""),"",$F809-$H809)</f>
        <v/>
      </c>
      <c r="J809" s="21">
        <f>IF($G809="","",$G809-TODAY())</f>
        <v/>
      </c>
      <c r="K809" s="21">
        <f>IF($I809="","",IFERROR(IF(N(INDEX('Cars'!$J$4:$J$103,MATCH($A809,'Cars'!$A$4:$A$103,0)))&gt;0,ROUND($I809/INDEX('Cars'!$J$4:$J$103,MATCH($A809,'Cars'!$A$4:$A$103,0))*30,0),""),""))</f>
        <v/>
      </c>
      <c r="L809" s="21">
        <f>IF(AND($J809="",$K809=""),"",MIN(IF($J809="",99999,$J809),IF($K809="",99999,$K809)))</f>
        <v/>
      </c>
      <c r="M809" s="16">
        <f>IF(AND($I809="",$J809=""),"",IF(OR(AND($I809&lt;&gt;"",N($I809)&lt;0),AND($J809&lt;&gt;"",N($J809)&lt;0)),"Overdue",IF(OR(AND($I809&lt;&gt;"",N($I809)&lt;=IFERROR(INDEX('Intervals'!$E$4:$E$33,MATCH($B809,'Intervals'!$A$4:$A$33,0)),500)),AND($J809&lt;&gt;"",N($J809)&lt;=IFERROR(INDEX('Intervals'!$F$4:$F$33,MATCH($B809,'Intervals'!$A$4:$A$33,0)),14))),"Due soon","OK")))</f>
        <v/>
      </c>
      <c r="N809" s="15" t="n"/>
      <c r="O809" s="22">
        <f>IF(OR($M809="",$M809="OK"),"",$L809+ROW()/100000)</f>
        <v/>
      </c>
    </row>
    <row r="810">
      <c r="A810" s="15" t="n"/>
      <c r="B810" s="15" t="n"/>
      <c r="C810" s="16">
        <f>IF($B810="","",IFERROR(INDEX('Intervals'!$B$4:$B$33,MATCH($B810,'Intervals'!$A$4:$A$33,0)),""))</f>
        <v/>
      </c>
      <c r="D810" s="17" t="n"/>
      <c r="E810" s="18" t="n"/>
      <c r="F810" s="19">
        <f>IF(OR($B810="",$E810=""),"",IFERROR(IF(AND(INDEX('Intervals'!$G$4:$G$33,MATCH($B810,'Intervals'!$A$4:$A$33,0))&lt;&gt;"No",N(INDEX('Intervals'!$C$4:$C$33,MATCH($B810,'Intervals'!$A$4:$A$33,0)))&gt;0),$E810+N(INDEX('Intervals'!$C$4:$C$33,MATCH($B810,'Intervals'!$A$4:$A$33,0))),""),""))</f>
        <v/>
      </c>
      <c r="G810" s="20">
        <f>IF(OR($B810="",$D810=""),"",IFERROR(IF(AND(INDEX('Intervals'!$G$4:$G$33,MATCH($B810,'Intervals'!$A$4:$A$33,0))&lt;&gt;"No",N(INDEX('Intervals'!$D$4:$D$33,MATCH($B810,'Intervals'!$A$4:$A$33,0)))&gt;0),EDATE($D810,N(INDEX('Intervals'!$D$4:$D$33,MATCH($B810,'Intervals'!$A$4:$A$33,0)))),""),""))</f>
        <v/>
      </c>
      <c r="H810" s="19">
        <f>IF($A810="","",IFERROR(IF(N(INDEX('Cars'!$H$4:$H$103,MATCH($A810,'Cars'!$A$4:$A$103,0)))&gt;0,INDEX('Cars'!$H$4:$H$103,MATCH($A810,'Cars'!$A$4:$A$103,0)),""),""))</f>
        <v/>
      </c>
      <c r="I810" s="19">
        <f>IF(OR($F810="",$H810=""),"",$F810-$H810)</f>
        <v/>
      </c>
      <c r="J810" s="21">
        <f>IF($G810="","",$G810-TODAY())</f>
        <v/>
      </c>
      <c r="K810" s="21">
        <f>IF($I810="","",IFERROR(IF(N(INDEX('Cars'!$J$4:$J$103,MATCH($A810,'Cars'!$A$4:$A$103,0)))&gt;0,ROUND($I810/INDEX('Cars'!$J$4:$J$103,MATCH($A810,'Cars'!$A$4:$A$103,0))*30,0),""),""))</f>
        <v/>
      </c>
      <c r="L810" s="21">
        <f>IF(AND($J810="",$K810=""),"",MIN(IF($J810="",99999,$J810),IF($K810="",99999,$K810)))</f>
        <v/>
      </c>
      <c r="M810" s="16">
        <f>IF(AND($I810="",$J810=""),"",IF(OR(AND($I810&lt;&gt;"",N($I810)&lt;0),AND($J810&lt;&gt;"",N($J810)&lt;0)),"Overdue",IF(OR(AND($I810&lt;&gt;"",N($I810)&lt;=IFERROR(INDEX('Intervals'!$E$4:$E$33,MATCH($B810,'Intervals'!$A$4:$A$33,0)),500)),AND($J810&lt;&gt;"",N($J810)&lt;=IFERROR(INDEX('Intervals'!$F$4:$F$33,MATCH($B810,'Intervals'!$A$4:$A$33,0)),14))),"Due soon","OK")))</f>
        <v/>
      </c>
      <c r="N810" s="15" t="n"/>
      <c r="O810" s="22">
        <f>IF(OR($M810="",$M810="OK"),"",$L810+ROW()/100000)</f>
        <v/>
      </c>
    </row>
    <row r="811">
      <c r="A811" s="15" t="n"/>
      <c r="B811" s="15" t="n"/>
      <c r="C811" s="16">
        <f>IF($B811="","",IFERROR(INDEX('Intervals'!$B$4:$B$33,MATCH($B811,'Intervals'!$A$4:$A$33,0)),""))</f>
        <v/>
      </c>
      <c r="D811" s="17" t="n"/>
      <c r="E811" s="18" t="n"/>
      <c r="F811" s="19">
        <f>IF(OR($B811="",$E811=""),"",IFERROR(IF(AND(INDEX('Intervals'!$G$4:$G$33,MATCH($B811,'Intervals'!$A$4:$A$33,0))&lt;&gt;"No",N(INDEX('Intervals'!$C$4:$C$33,MATCH($B811,'Intervals'!$A$4:$A$33,0)))&gt;0),$E811+N(INDEX('Intervals'!$C$4:$C$33,MATCH($B811,'Intervals'!$A$4:$A$33,0))),""),""))</f>
        <v/>
      </c>
      <c r="G811" s="20">
        <f>IF(OR($B811="",$D811=""),"",IFERROR(IF(AND(INDEX('Intervals'!$G$4:$G$33,MATCH($B811,'Intervals'!$A$4:$A$33,0))&lt;&gt;"No",N(INDEX('Intervals'!$D$4:$D$33,MATCH($B811,'Intervals'!$A$4:$A$33,0)))&gt;0),EDATE($D811,N(INDEX('Intervals'!$D$4:$D$33,MATCH($B811,'Intervals'!$A$4:$A$33,0)))),""),""))</f>
        <v/>
      </c>
      <c r="H811" s="19">
        <f>IF($A811="","",IFERROR(IF(N(INDEX('Cars'!$H$4:$H$103,MATCH($A811,'Cars'!$A$4:$A$103,0)))&gt;0,INDEX('Cars'!$H$4:$H$103,MATCH($A811,'Cars'!$A$4:$A$103,0)),""),""))</f>
        <v/>
      </c>
      <c r="I811" s="19">
        <f>IF(OR($F811="",$H811=""),"",$F811-$H811)</f>
        <v/>
      </c>
      <c r="J811" s="21">
        <f>IF($G811="","",$G811-TODAY())</f>
        <v/>
      </c>
      <c r="K811" s="21">
        <f>IF($I811="","",IFERROR(IF(N(INDEX('Cars'!$J$4:$J$103,MATCH($A811,'Cars'!$A$4:$A$103,0)))&gt;0,ROUND($I811/INDEX('Cars'!$J$4:$J$103,MATCH($A811,'Cars'!$A$4:$A$103,0))*30,0),""),""))</f>
        <v/>
      </c>
      <c r="L811" s="21">
        <f>IF(AND($J811="",$K811=""),"",MIN(IF($J811="",99999,$J811),IF($K811="",99999,$K811)))</f>
        <v/>
      </c>
      <c r="M811" s="16">
        <f>IF(AND($I811="",$J811=""),"",IF(OR(AND($I811&lt;&gt;"",N($I811)&lt;0),AND($J811&lt;&gt;"",N($J811)&lt;0)),"Overdue",IF(OR(AND($I811&lt;&gt;"",N($I811)&lt;=IFERROR(INDEX('Intervals'!$E$4:$E$33,MATCH($B811,'Intervals'!$A$4:$A$33,0)),500)),AND($J811&lt;&gt;"",N($J811)&lt;=IFERROR(INDEX('Intervals'!$F$4:$F$33,MATCH($B811,'Intervals'!$A$4:$A$33,0)),14))),"Due soon","OK")))</f>
        <v/>
      </c>
      <c r="N811" s="15" t="n"/>
      <c r="O811" s="22">
        <f>IF(OR($M811="",$M811="OK"),"",$L811+ROW()/100000)</f>
        <v/>
      </c>
    </row>
    <row r="812">
      <c r="A812" s="15" t="n"/>
      <c r="B812" s="15" t="n"/>
      <c r="C812" s="16">
        <f>IF($B812="","",IFERROR(INDEX('Intervals'!$B$4:$B$33,MATCH($B812,'Intervals'!$A$4:$A$33,0)),""))</f>
        <v/>
      </c>
      <c r="D812" s="17" t="n"/>
      <c r="E812" s="18" t="n"/>
      <c r="F812" s="19">
        <f>IF(OR($B812="",$E812=""),"",IFERROR(IF(AND(INDEX('Intervals'!$G$4:$G$33,MATCH($B812,'Intervals'!$A$4:$A$33,0))&lt;&gt;"No",N(INDEX('Intervals'!$C$4:$C$33,MATCH($B812,'Intervals'!$A$4:$A$33,0)))&gt;0),$E812+N(INDEX('Intervals'!$C$4:$C$33,MATCH($B812,'Intervals'!$A$4:$A$33,0))),""),""))</f>
        <v/>
      </c>
      <c r="G812" s="20">
        <f>IF(OR($B812="",$D812=""),"",IFERROR(IF(AND(INDEX('Intervals'!$G$4:$G$33,MATCH($B812,'Intervals'!$A$4:$A$33,0))&lt;&gt;"No",N(INDEX('Intervals'!$D$4:$D$33,MATCH($B812,'Intervals'!$A$4:$A$33,0)))&gt;0),EDATE($D812,N(INDEX('Intervals'!$D$4:$D$33,MATCH($B812,'Intervals'!$A$4:$A$33,0)))),""),""))</f>
        <v/>
      </c>
      <c r="H812" s="19">
        <f>IF($A812="","",IFERROR(IF(N(INDEX('Cars'!$H$4:$H$103,MATCH($A812,'Cars'!$A$4:$A$103,0)))&gt;0,INDEX('Cars'!$H$4:$H$103,MATCH($A812,'Cars'!$A$4:$A$103,0)),""),""))</f>
        <v/>
      </c>
      <c r="I812" s="19">
        <f>IF(OR($F812="",$H812=""),"",$F812-$H812)</f>
        <v/>
      </c>
      <c r="J812" s="21">
        <f>IF($G812="","",$G812-TODAY())</f>
        <v/>
      </c>
      <c r="K812" s="21">
        <f>IF($I812="","",IFERROR(IF(N(INDEX('Cars'!$J$4:$J$103,MATCH($A812,'Cars'!$A$4:$A$103,0)))&gt;0,ROUND($I812/INDEX('Cars'!$J$4:$J$103,MATCH($A812,'Cars'!$A$4:$A$103,0))*30,0),""),""))</f>
        <v/>
      </c>
      <c r="L812" s="21">
        <f>IF(AND($J812="",$K812=""),"",MIN(IF($J812="",99999,$J812),IF($K812="",99999,$K812)))</f>
        <v/>
      </c>
      <c r="M812" s="16">
        <f>IF(AND($I812="",$J812=""),"",IF(OR(AND($I812&lt;&gt;"",N($I812)&lt;0),AND($J812&lt;&gt;"",N($J812)&lt;0)),"Overdue",IF(OR(AND($I812&lt;&gt;"",N($I812)&lt;=IFERROR(INDEX('Intervals'!$E$4:$E$33,MATCH($B812,'Intervals'!$A$4:$A$33,0)),500)),AND($J812&lt;&gt;"",N($J812)&lt;=IFERROR(INDEX('Intervals'!$F$4:$F$33,MATCH($B812,'Intervals'!$A$4:$A$33,0)),14))),"Due soon","OK")))</f>
        <v/>
      </c>
      <c r="N812" s="15" t="n"/>
      <c r="O812" s="22">
        <f>IF(OR($M812="",$M812="OK"),"",$L812+ROW()/100000)</f>
        <v/>
      </c>
    </row>
    <row r="813">
      <c r="A813" s="15" t="n"/>
      <c r="B813" s="15" t="n"/>
      <c r="C813" s="16">
        <f>IF($B813="","",IFERROR(INDEX('Intervals'!$B$4:$B$33,MATCH($B813,'Intervals'!$A$4:$A$33,0)),""))</f>
        <v/>
      </c>
      <c r="D813" s="17" t="n"/>
      <c r="E813" s="18" t="n"/>
      <c r="F813" s="19">
        <f>IF(OR($B813="",$E813=""),"",IFERROR(IF(AND(INDEX('Intervals'!$G$4:$G$33,MATCH($B813,'Intervals'!$A$4:$A$33,0))&lt;&gt;"No",N(INDEX('Intervals'!$C$4:$C$33,MATCH($B813,'Intervals'!$A$4:$A$33,0)))&gt;0),$E813+N(INDEX('Intervals'!$C$4:$C$33,MATCH($B813,'Intervals'!$A$4:$A$33,0))),""),""))</f>
        <v/>
      </c>
      <c r="G813" s="20">
        <f>IF(OR($B813="",$D813=""),"",IFERROR(IF(AND(INDEX('Intervals'!$G$4:$G$33,MATCH($B813,'Intervals'!$A$4:$A$33,0))&lt;&gt;"No",N(INDEX('Intervals'!$D$4:$D$33,MATCH($B813,'Intervals'!$A$4:$A$33,0)))&gt;0),EDATE($D813,N(INDEX('Intervals'!$D$4:$D$33,MATCH($B813,'Intervals'!$A$4:$A$33,0)))),""),""))</f>
        <v/>
      </c>
      <c r="H813" s="19">
        <f>IF($A813="","",IFERROR(IF(N(INDEX('Cars'!$H$4:$H$103,MATCH($A813,'Cars'!$A$4:$A$103,0)))&gt;0,INDEX('Cars'!$H$4:$H$103,MATCH($A813,'Cars'!$A$4:$A$103,0)),""),""))</f>
        <v/>
      </c>
      <c r="I813" s="19">
        <f>IF(OR($F813="",$H813=""),"",$F813-$H813)</f>
        <v/>
      </c>
      <c r="J813" s="21">
        <f>IF($G813="","",$G813-TODAY())</f>
        <v/>
      </c>
      <c r="K813" s="21">
        <f>IF($I813="","",IFERROR(IF(N(INDEX('Cars'!$J$4:$J$103,MATCH($A813,'Cars'!$A$4:$A$103,0)))&gt;0,ROUND($I813/INDEX('Cars'!$J$4:$J$103,MATCH($A813,'Cars'!$A$4:$A$103,0))*30,0),""),""))</f>
        <v/>
      </c>
      <c r="L813" s="21">
        <f>IF(AND($J813="",$K813=""),"",MIN(IF($J813="",99999,$J813),IF($K813="",99999,$K813)))</f>
        <v/>
      </c>
      <c r="M813" s="16">
        <f>IF(AND($I813="",$J813=""),"",IF(OR(AND($I813&lt;&gt;"",N($I813)&lt;0),AND($J813&lt;&gt;"",N($J813)&lt;0)),"Overdue",IF(OR(AND($I813&lt;&gt;"",N($I813)&lt;=IFERROR(INDEX('Intervals'!$E$4:$E$33,MATCH($B813,'Intervals'!$A$4:$A$33,0)),500)),AND($J813&lt;&gt;"",N($J813)&lt;=IFERROR(INDEX('Intervals'!$F$4:$F$33,MATCH($B813,'Intervals'!$A$4:$A$33,0)),14))),"Due soon","OK")))</f>
        <v/>
      </c>
      <c r="N813" s="15" t="n"/>
      <c r="O813" s="22">
        <f>IF(OR($M813="",$M813="OK"),"",$L813+ROW()/100000)</f>
        <v/>
      </c>
    </row>
    <row r="814">
      <c r="A814" s="15" t="n"/>
      <c r="B814" s="15" t="n"/>
      <c r="C814" s="16">
        <f>IF($B814="","",IFERROR(INDEX('Intervals'!$B$4:$B$33,MATCH($B814,'Intervals'!$A$4:$A$33,0)),""))</f>
        <v/>
      </c>
      <c r="D814" s="17" t="n"/>
      <c r="E814" s="18" t="n"/>
      <c r="F814" s="19">
        <f>IF(OR($B814="",$E814=""),"",IFERROR(IF(AND(INDEX('Intervals'!$G$4:$G$33,MATCH($B814,'Intervals'!$A$4:$A$33,0))&lt;&gt;"No",N(INDEX('Intervals'!$C$4:$C$33,MATCH($B814,'Intervals'!$A$4:$A$33,0)))&gt;0),$E814+N(INDEX('Intervals'!$C$4:$C$33,MATCH($B814,'Intervals'!$A$4:$A$33,0))),""),""))</f>
        <v/>
      </c>
      <c r="G814" s="20">
        <f>IF(OR($B814="",$D814=""),"",IFERROR(IF(AND(INDEX('Intervals'!$G$4:$G$33,MATCH($B814,'Intervals'!$A$4:$A$33,0))&lt;&gt;"No",N(INDEX('Intervals'!$D$4:$D$33,MATCH($B814,'Intervals'!$A$4:$A$33,0)))&gt;0),EDATE($D814,N(INDEX('Intervals'!$D$4:$D$33,MATCH($B814,'Intervals'!$A$4:$A$33,0)))),""),""))</f>
        <v/>
      </c>
      <c r="H814" s="19">
        <f>IF($A814="","",IFERROR(IF(N(INDEX('Cars'!$H$4:$H$103,MATCH($A814,'Cars'!$A$4:$A$103,0)))&gt;0,INDEX('Cars'!$H$4:$H$103,MATCH($A814,'Cars'!$A$4:$A$103,0)),""),""))</f>
        <v/>
      </c>
      <c r="I814" s="19">
        <f>IF(OR($F814="",$H814=""),"",$F814-$H814)</f>
        <v/>
      </c>
      <c r="J814" s="21">
        <f>IF($G814="","",$G814-TODAY())</f>
        <v/>
      </c>
      <c r="K814" s="21">
        <f>IF($I814="","",IFERROR(IF(N(INDEX('Cars'!$J$4:$J$103,MATCH($A814,'Cars'!$A$4:$A$103,0)))&gt;0,ROUND($I814/INDEX('Cars'!$J$4:$J$103,MATCH($A814,'Cars'!$A$4:$A$103,0))*30,0),""),""))</f>
        <v/>
      </c>
      <c r="L814" s="21">
        <f>IF(AND($J814="",$K814=""),"",MIN(IF($J814="",99999,$J814),IF($K814="",99999,$K814)))</f>
        <v/>
      </c>
      <c r="M814" s="16">
        <f>IF(AND($I814="",$J814=""),"",IF(OR(AND($I814&lt;&gt;"",N($I814)&lt;0),AND($J814&lt;&gt;"",N($J814)&lt;0)),"Overdue",IF(OR(AND($I814&lt;&gt;"",N($I814)&lt;=IFERROR(INDEX('Intervals'!$E$4:$E$33,MATCH($B814,'Intervals'!$A$4:$A$33,0)),500)),AND($J814&lt;&gt;"",N($J814)&lt;=IFERROR(INDEX('Intervals'!$F$4:$F$33,MATCH($B814,'Intervals'!$A$4:$A$33,0)),14))),"Due soon","OK")))</f>
        <v/>
      </c>
      <c r="N814" s="15" t="n"/>
      <c r="O814" s="22">
        <f>IF(OR($M814="",$M814="OK"),"",$L814+ROW()/100000)</f>
        <v/>
      </c>
    </row>
    <row r="815">
      <c r="A815" s="15" t="n"/>
      <c r="B815" s="15" t="n"/>
      <c r="C815" s="16">
        <f>IF($B815="","",IFERROR(INDEX('Intervals'!$B$4:$B$33,MATCH($B815,'Intervals'!$A$4:$A$33,0)),""))</f>
        <v/>
      </c>
      <c r="D815" s="17" t="n"/>
      <c r="E815" s="18" t="n"/>
      <c r="F815" s="19">
        <f>IF(OR($B815="",$E815=""),"",IFERROR(IF(AND(INDEX('Intervals'!$G$4:$G$33,MATCH($B815,'Intervals'!$A$4:$A$33,0))&lt;&gt;"No",N(INDEX('Intervals'!$C$4:$C$33,MATCH($B815,'Intervals'!$A$4:$A$33,0)))&gt;0),$E815+N(INDEX('Intervals'!$C$4:$C$33,MATCH($B815,'Intervals'!$A$4:$A$33,0))),""),""))</f>
        <v/>
      </c>
      <c r="G815" s="20">
        <f>IF(OR($B815="",$D815=""),"",IFERROR(IF(AND(INDEX('Intervals'!$G$4:$G$33,MATCH($B815,'Intervals'!$A$4:$A$33,0))&lt;&gt;"No",N(INDEX('Intervals'!$D$4:$D$33,MATCH($B815,'Intervals'!$A$4:$A$33,0)))&gt;0),EDATE($D815,N(INDEX('Intervals'!$D$4:$D$33,MATCH($B815,'Intervals'!$A$4:$A$33,0)))),""),""))</f>
        <v/>
      </c>
      <c r="H815" s="19">
        <f>IF($A815="","",IFERROR(IF(N(INDEX('Cars'!$H$4:$H$103,MATCH($A815,'Cars'!$A$4:$A$103,0)))&gt;0,INDEX('Cars'!$H$4:$H$103,MATCH($A815,'Cars'!$A$4:$A$103,0)),""),""))</f>
        <v/>
      </c>
      <c r="I815" s="19">
        <f>IF(OR($F815="",$H815=""),"",$F815-$H815)</f>
        <v/>
      </c>
      <c r="J815" s="21">
        <f>IF($G815="","",$G815-TODAY())</f>
        <v/>
      </c>
      <c r="K815" s="21">
        <f>IF($I815="","",IFERROR(IF(N(INDEX('Cars'!$J$4:$J$103,MATCH($A815,'Cars'!$A$4:$A$103,0)))&gt;0,ROUND($I815/INDEX('Cars'!$J$4:$J$103,MATCH($A815,'Cars'!$A$4:$A$103,0))*30,0),""),""))</f>
        <v/>
      </c>
      <c r="L815" s="21">
        <f>IF(AND($J815="",$K815=""),"",MIN(IF($J815="",99999,$J815),IF($K815="",99999,$K815)))</f>
        <v/>
      </c>
      <c r="M815" s="16">
        <f>IF(AND($I815="",$J815=""),"",IF(OR(AND($I815&lt;&gt;"",N($I815)&lt;0),AND($J815&lt;&gt;"",N($J815)&lt;0)),"Overdue",IF(OR(AND($I815&lt;&gt;"",N($I815)&lt;=IFERROR(INDEX('Intervals'!$E$4:$E$33,MATCH($B815,'Intervals'!$A$4:$A$33,0)),500)),AND($J815&lt;&gt;"",N($J815)&lt;=IFERROR(INDEX('Intervals'!$F$4:$F$33,MATCH($B815,'Intervals'!$A$4:$A$33,0)),14))),"Due soon","OK")))</f>
        <v/>
      </c>
      <c r="N815" s="15" t="n"/>
      <c r="O815" s="22">
        <f>IF(OR($M815="",$M815="OK"),"",$L815+ROW()/100000)</f>
        <v/>
      </c>
    </row>
    <row r="816">
      <c r="A816" s="15" t="n"/>
      <c r="B816" s="15" t="n"/>
      <c r="C816" s="16">
        <f>IF($B816="","",IFERROR(INDEX('Intervals'!$B$4:$B$33,MATCH($B816,'Intervals'!$A$4:$A$33,0)),""))</f>
        <v/>
      </c>
      <c r="D816" s="17" t="n"/>
      <c r="E816" s="18" t="n"/>
      <c r="F816" s="19">
        <f>IF(OR($B816="",$E816=""),"",IFERROR(IF(AND(INDEX('Intervals'!$G$4:$G$33,MATCH($B816,'Intervals'!$A$4:$A$33,0))&lt;&gt;"No",N(INDEX('Intervals'!$C$4:$C$33,MATCH($B816,'Intervals'!$A$4:$A$33,0)))&gt;0),$E816+N(INDEX('Intervals'!$C$4:$C$33,MATCH($B816,'Intervals'!$A$4:$A$33,0))),""),""))</f>
        <v/>
      </c>
      <c r="G816" s="20">
        <f>IF(OR($B816="",$D816=""),"",IFERROR(IF(AND(INDEX('Intervals'!$G$4:$G$33,MATCH($B816,'Intervals'!$A$4:$A$33,0))&lt;&gt;"No",N(INDEX('Intervals'!$D$4:$D$33,MATCH($B816,'Intervals'!$A$4:$A$33,0)))&gt;0),EDATE($D816,N(INDEX('Intervals'!$D$4:$D$33,MATCH($B816,'Intervals'!$A$4:$A$33,0)))),""),""))</f>
        <v/>
      </c>
      <c r="H816" s="19">
        <f>IF($A816="","",IFERROR(IF(N(INDEX('Cars'!$H$4:$H$103,MATCH($A816,'Cars'!$A$4:$A$103,0)))&gt;0,INDEX('Cars'!$H$4:$H$103,MATCH($A816,'Cars'!$A$4:$A$103,0)),""),""))</f>
        <v/>
      </c>
      <c r="I816" s="19">
        <f>IF(OR($F816="",$H816=""),"",$F816-$H816)</f>
        <v/>
      </c>
      <c r="J816" s="21">
        <f>IF($G816="","",$G816-TODAY())</f>
        <v/>
      </c>
      <c r="K816" s="21">
        <f>IF($I816="","",IFERROR(IF(N(INDEX('Cars'!$J$4:$J$103,MATCH($A816,'Cars'!$A$4:$A$103,0)))&gt;0,ROUND($I816/INDEX('Cars'!$J$4:$J$103,MATCH($A816,'Cars'!$A$4:$A$103,0))*30,0),""),""))</f>
        <v/>
      </c>
      <c r="L816" s="21">
        <f>IF(AND($J816="",$K816=""),"",MIN(IF($J816="",99999,$J816),IF($K816="",99999,$K816)))</f>
        <v/>
      </c>
      <c r="M816" s="16">
        <f>IF(AND($I816="",$J816=""),"",IF(OR(AND($I816&lt;&gt;"",N($I816)&lt;0),AND($J816&lt;&gt;"",N($J816)&lt;0)),"Overdue",IF(OR(AND($I816&lt;&gt;"",N($I816)&lt;=IFERROR(INDEX('Intervals'!$E$4:$E$33,MATCH($B816,'Intervals'!$A$4:$A$33,0)),500)),AND($J816&lt;&gt;"",N($J816)&lt;=IFERROR(INDEX('Intervals'!$F$4:$F$33,MATCH($B816,'Intervals'!$A$4:$A$33,0)),14))),"Due soon","OK")))</f>
        <v/>
      </c>
      <c r="N816" s="15" t="n"/>
      <c r="O816" s="22">
        <f>IF(OR($M816="",$M816="OK"),"",$L816+ROW()/100000)</f>
        <v/>
      </c>
    </row>
    <row r="817">
      <c r="A817" s="15" t="n"/>
      <c r="B817" s="15" t="n"/>
      <c r="C817" s="16">
        <f>IF($B817="","",IFERROR(INDEX('Intervals'!$B$4:$B$33,MATCH($B817,'Intervals'!$A$4:$A$33,0)),""))</f>
        <v/>
      </c>
      <c r="D817" s="17" t="n"/>
      <c r="E817" s="18" t="n"/>
      <c r="F817" s="19">
        <f>IF(OR($B817="",$E817=""),"",IFERROR(IF(AND(INDEX('Intervals'!$G$4:$G$33,MATCH($B817,'Intervals'!$A$4:$A$33,0))&lt;&gt;"No",N(INDEX('Intervals'!$C$4:$C$33,MATCH($B817,'Intervals'!$A$4:$A$33,0)))&gt;0),$E817+N(INDEX('Intervals'!$C$4:$C$33,MATCH($B817,'Intervals'!$A$4:$A$33,0))),""),""))</f>
        <v/>
      </c>
      <c r="G817" s="20">
        <f>IF(OR($B817="",$D817=""),"",IFERROR(IF(AND(INDEX('Intervals'!$G$4:$G$33,MATCH($B817,'Intervals'!$A$4:$A$33,0))&lt;&gt;"No",N(INDEX('Intervals'!$D$4:$D$33,MATCH($B817,'Intervals'!$A$4:$A$33,0)))&gt;0),EDATE($D817,N(INDEX('Intervals'!$D$4:$D$33,MATCH($B817,'Intervals'!$A$4:$A$33,0)))),""),""))</f>
        <v/>
      </c>
      <c r="H817" s="19">
        <f>IF($A817="","",IFERROR(IF(N(INDEX('Cars'!$H$4:$H$103,MATCH($A817,'Cars'!$A$4:$A$103,0)))&gt;0,INDEX('Cars'!$H$4:$H$103,MATCH($A817,'Cars'!$A$4:$A$103,0)),""),""))</f>
        <v/>
      </c>
      <c r="I817" s="19">
        <f>IF(OR($F817="",$H817=""),"",$F817-$H817)</f>
        <v/>
      </c>
      <c r="J817" s="21">
        <f>IF($G817="","",$G817-TODAY())</f>
        <v/>
      </c>
      <c r="K817" s="21">
        <f>IF($I817="","",IFERROR(IF(N(INDEX('Cars'!$J$4:$J$103,MATCH($A817,'Cars'!$A$4:$A$103,0)))&gt;0,ROUND($I817/INDEX('Cars'!$J$4:$J$103,MATCH($A817,'Cars'!$A$4:$A$103,0))*30,0),""),""))</f>
        <v/>
      </c>
      <c r="L817" s="21">
        <f>IF(AND($J817="",$K817=""),"",MIN(IF($J817="",99999,$J817),IF($K817="",99999,$K817)))</f>
        <v/>
      </c>
      <c r="M817" s="16">
        <f>IF(AND($I817="",$J817=""),"",IF(OR(AND($I817&lt;&gt;"",N($I817)&lt;0),AND($J817&lt;&gt;"",N($J817)&lt;0)),"Overdue",IF(OR(AND($I817&lt;&gt;"",N($I817)&lt;=IFERROR(INDEX('Intervals'!$E$4:$E$33,MATCH($B817,'Intervals'!$A$4:$A$33,0)),500)),AND($J817&lt;&gt;"",N($J817)&lt;=IFERROR(INDEX('Intervals'!$F$4:$F$33,MATCH($B817,'Intervals'!$A$4:$A$33,0)),14))),"Due soon","OK")))</f>
        <v/>
      </c>
      <c r="N817" s="15" t="n"/>
      <c r="O817" s="22">
        <f>IF(OR($M817="",$M817="OK"),"",$L817+ROW()/100000)</f>
        <v/>
      </c>
    </row>
    <row r="818">
      <c r="A818" s="15" t="n"/>
      <c r="B818" s="15" t="n"/>
      <c r="C818" s="16">
        <f>IF($B818="","",IFERROR(INDEX('Intervals'!$B$4:$B$33,MATCH($B818,'Intervals'!$A$4:$A$33,0)),""))</f>
        <v/>
      </c>
      <c r="D818" s="17" t="n"/>
      <c r="E818" s="18" t="n"/>
      <c r="F818" s="19">
        <f>IF(OR($B818="",$E818=""),"",IFERROR(IF(AND(INDEX('Intervals'!$G$4:$G$33,MATCH($B818,'Intervals'!$A$4:$A$33,0))&lt;&gt;"No",N(INDEX('Intervals'!$C$4:$C$33,MATCH($B818,'Intervals'!$A$4:$A$33,0)))&gt;0),$E818+N(INDEX('Intervals'!$C$4:$C$33,MATCH($B818,'Intervals'!$A$4:$A$33,0))),""),""))</f>
        <v/>
      </c>
      <c r="G818" s="20">
        <f>IF(OR($B818="",$D818=""),"",IFERROR(IF(AND(INDEX('Intervals'!$G$4:$G$33,MATCH($B818,'Intervals'!$A$4:$A$33,0))&lt;&gt;"No",N(INDEX('Intervals'!$D$4:$D$33,MATCH($B818,'Intervals'!$A$4:$A$33,0)))&gt;0),EDATE($D818,N(INDEX('Intervals'!$D$4:$D$33,MATCH($B818,'Intervals'!$A$4:$A$33,0)))),""),""))</f>
        <v/>
      </c>
      <c r="H818" s="19">
        <f>IF($A818="","",IFERROR(IF(N(INDEX('Cars'!$H$4:$H$103,MATCH($A818,'Cars'!$A$4:$A$103,0)))&gt;0,INDEX('Cars'!$H$4:$H$103,MATCH($A818,'Cars'!$A$4:$A$103,0)),""),""))</f>
        <v/>
      </c>
      <c r="I818" s="19">
        <f>IF(OR($F818="",$H818=""),"",$F818-$H818)</f>
        <v/>
      </c>
      <c r="J818" s="21">
        <f>IF($G818="","",$G818-TODAY())</f>
        <v/>
      </c>
      <c r="K818" s="21">
        <f>IF($I818="","",IFERROR(IF(N(INDEX('Cars'!$J$4:$J$103,MATCH($A818,'Cars'!$A$4:$A$103,0)))&gt;0,ROUND($I818/INDEX('Cars'!$J$4:$J$103,MATCH($A818,'Cars'!$A$4:$A$103,0))*30,0),""),""))</f>
        <v/>
      </c>
      <c r="L818" s="21">
        <f>IF(AND($J818="",$K818=""),"",MIN(IF($J818="",99999,$J818),IF($K818="",99999,$K818)))</f>
        <v/>
      </c>
      <c r="M818" s="16">
        <f>IF(AND($I818="",$J818=""),"",IF(OR(AND($I818&lt;&gt;"",N($I818)&lt;0),AND($J818&lt;&gt;"",N($J818)&lt;0)),"Overdue",IF(OR(AND($I818&lt;&gt;"",N($I818)&lt;=IFERROR(INDEX('Intervals'!$E$4:$E$33,MATCH($B818,'Intervals'!$A$4:$A$33,0)),500)),AND($J818&lt;&gt;"",N($J818)&lt;=IFERROR(INDEX('Intervals'!$F$4:$F$33,MATCH($B818,'Intervals'!$A$4:$A$33,0)),14))),"Due soon","OK")))</f>
        <v/>
      </c>
      <c r="N818" s="15" t="n"/>
      <c r="O818" s="22">
        <f>IF(OR($M818="",$M818="OK"),"",$L818+ROW()/100000)</f>
        <v/>
      </c>
    </row>
    <row r="819">
      <c r="A819" s="15" t="n"/>
      <c r="B819" s="15" t="n"/>
      <c r="C819" s="16">
        <f>IF($B819="","",IFERROR(INDEX('Intervals'!$B$4:$B$33,MATCH($B819,'Intervals'!$A$4:$A$33,0)),""))</f>
        <v/>
      </c>
      <c r="D819" s="17" t="n"/>
      <c r="E819" s="18" t="n"/>
      <c r="F819" s="19">
        <f>IF(OR($B819="",$E819=""),"",IFERROR(IF(AND(INDEX('Intervals'!$G$4:$G$33,MATCH($B819,'Intervals'!$A$4:$A$33,0))&lt;&gt;"No",N(INDEX('Intervals'!$C$4:$C$33,MATCH($B819,'Intervals'!$A$4:$A$33,0)))&gt;0),$E819+N(INDEX('Intervals'!$C$4:$C$33,MATCH($B819,'Intervals'!$A$4:$A$33,0))),""),""))</f>
        <v/>
      </c>
      <c r="G819" s="20">
        <f>IF(OR($B819="",$D819=""),"",IFERROR(IF(AND(INDEX('Intervals'!$G$4:$G$33,MATCH($B819,'Intervals'!$A$4:$A$33,0))&lt;&gt;"No",N(INDEX('Intervals'!$D$4:$D$33,MATCH($B819,'Intervals'!$A$4:$A$33,0)))&gt;0),EDATE($D819,N(INDEX('Intervals'!$D$4:$D$33,MATCH($B819,'Intervals'!$A$4:$A$33,0)))),""),""))</f>
        <v/>
      </c>
      <c r="H819" s="19">
        <f>IF($A819="","",IFERROR(IF(N(INDEX('Cars'!$H$4:$H$103,MATCH($A819,'Cars'!$A$4:$A$103,0)))&gt;0,INDEX('Cars'!$H$4:$H$103,MATCH($A819,'Cars'!$A$4:$A$103,0)),""),""))</f>
        <v/>
      </c>
      <c r="I819" s="19">
        <f>IF(OR($F819="",$H819=""),"",$F819-$H819)</f>
        <v/>
      </c>
      <c r="J819" s="21">
        <f>IF($G819="","",$G819-TODAY())</f>
        <v/>
      </c>
      <c r="K819" s="21">
        <f>IF($I819="","",IFERROR(IF(N(INDEX('Cars'!$J$4:$J$103,MATCH($A819,'Cars'!$A$4:$A$103,0)))&gt;0,ROUND($I819/INDEX('Cars'!$J$4:$J$103,MATCH($A819,'Cars'!$A$4:$A$103,0))*30,0),""),""))</f>
        <v/>
      </c>
      <c r="L819" s="21">
        <f>IF(AND($J819="",$K819=""),"",MIN(IF($J819="",99999,$J819),IF($K819="",99999,$K819)))</f>
        <v/>
      </c>
      <c r="M819" s="16">
        <f>IF(AND($I819="",$J819=""),"",IF(OR(AND($I819&lt;&gt;"",N($I819)&lt;0),AND($J819&lt;&gt;"",N($J819)&lt;0)),"Overdue",IF(OR(AND($I819&lt;&gt;"",N($I819)&lt;=IFERROR(INDEX('Intervals'!$E$4:$E$33,MATCH($B819,'Intervals'!$A$4:$A$33,0)),500)),AND($J819&lt;&gt;"",N($J819)&lt;=IFERROR(INDEX('Intervals'!$F$4:$F$33,MATCH($B819,'Intervals'!$A$4:$A$33,0)),14))),"Due soon","OK")))</f>
        <v/>
      </c>
      <c r="N819" s="15" t="n"/>
      <c r="O819" s="22">
        <f>IF(OR($M819="",$M819="OK"),"",$L819+ROW()/100000)</f>
        <v/>
      </c>
    </row>
    <row r="820">
      <c r="A820" s="15" t="n"/>
      <c r="B820" s="15" t="n"/>
      <c r="C820" s="16">
        <f>IF($B820="","",IFERROR(INDEX('Intervals'!$B$4:$B$33,MATCH($B820,'Intervals'!$A$4:$A$33,0)),""))</f>
        <v/>
      </c>
      <c r="D820" s="17" t="n"/>
      <c r="E820" s="18" t="n"/>
      <c r="F820" s="19">
        <f>IF(OR($B820="",$E820=""),"",IFERROR(IF(AND(INDEX('Intervals'!$G$4:$G$33,MATCH($B820,'Intervals'!$A$4:$A$33,0))&lt;&gt;"No",N(INDEX('Intervals'!$C$4:$C$33,MATCH($B820,'Intervals'!$A$4:$A$33,0)))&gt;0),$E820+N(INDEX('Intervals'!$C$4:$C$33,MATCH($B820,'Intervals'!$A$4:$A$33,0))),""),""))</f>
        <v/>
      </c>
      <c r="G820" s="20">
        <f>IF(OR($B820="",$D820=""),"",IFERROR(IF(AND(INDEX('Intervals'!$G$4:$G$33,MATCH($B820,'Intervals'!$A$4:$A$33,0))&lt;&gt;"No",N(INDEX('Intervals'!$D$4:$D$33,MATCH($B820,'Intervals'!$A$4:$A$33,0)))&gt;0),EDATE($D820,N(INDEX('Intervals'!$D$4:$D$33,MATCH($B820,'Intervals'!$A$4:$A$33,0)))),""),""))</f>
        <v/>
      </c>
      <c r="H820" s="19">
        <f>IF($A820="","",IFERROR(IF(N(INDEX('Cars'!$H$4:$H$103,MATCH($A820,'Cars'!$A$4:$A$103,0)))&gt;0,INDEX('Cars'!$H$4:$H$103,MATCH($A820,'Cars'!$A$4:$A$103,0)),""),""))</f>
        <v/>
      </c>
      <c r="I820" s="19">
        <f>IF(OR($F820="",$H820=""),"",$F820-$H820)</f>
        <v/>
      </c>
      <c r="J820" s="21">
        <f>IF($G820="","",$G820-TODAY())</f>
        <v/>
      </c>
      <c r="K820" s="21">
        <f>IF($I820="","",IFERROR(IF(N(INDEX('Cars'!$J$4:$J$103,MATCH($A820,'Cars'!$A$4:$A$103,0)))&gt;0,ROUND($I820/INDEX('Cars'!$J$4:$J$103,MATCH($A820,'Cars'!$A$4:$A$103,0))*30,0),""),""))</f>
        <v/>
      </c>
      <c r="L820" s="21">
        <f>IF(AND($J820="",$K820=""),"",MIN(IF($J820="",99999,$J820),IF($K820="",99999,$K820)))</f>
        <v/>
      </c>
      <c r="M820" s="16">
        <f>IF(AND($I820="",$J820=""),"",IF(OR(AND($I820&lt;&gt;"",N($I820)&lt;0),AND($J820&lt;&gt;"",N($J820)&lt;0)),"Overdue",IF(OR(AND($I820&lt;&gt;"",N($I820)&lt;=IFERROR(INDEX('Intervals'!$E$4:$E$33,MATCH($B820,'Intervals'!$A$4:$A$33,0)),500)),AND($J820&lt;&gt;"",N($J820)&lt;=IFERROR(INDEX('Intervals'!$F$4:$F$33,MATCH($B820,'Intervals'!$A$4:$A$33,0)),14))),"Due soon","OK")))</f>
        <v/>
      </c>
      <c r="N820" s="15" t="n"/>
      <c r="O820" s="22">
        <f>IF(OR($M820="",$M820="OK"),"",$L820+ROW()/100000)</f>
        <v/>
      </c>
    </row>
    <row r="821">
      <c r="A821" s="15" t="n"/>
      <c r="B821" s="15" t="n"/>
      <c r="C821" s="16">
        <f>IF($B821="","",IFERROR(INDEX('Intervals'!$B$4:$B$33,MATCH($B821,'Intervals'!$A$4:$A$33,0)),""))</f>
        <v/>
      </c>
      <c r="D821" s="17" t="n"/>
      <c r="E821" s="18" t="n"/>
      <c r="F821" s="19">
        <f>IF(OR($B821="",$E821=""),"",IFERROR(IF(AND(INDEX('Intervals'!$G$4:$G$33,MATCH($B821,'Intervals'!$A$4:$A$33,0))&lt;&gt;"No",N(INDEX('Intervals'!$C$4:$C$33,MATCH($B821,'Intervals'!$A$4:$A$33,0)))&gt;0),$E821+N(INDEX('Intervals'!$C$4:$C$33,MATCH($B821,'Intervals'!$A$4:$A$33,0))),""),""))</f>
        <v/>
      </c>
      <c r="G821" s="20">
        <f>IF(OR($B821="",$D821=""),"",IFERROR(IF(AND(INDEX('Intervals'!$G$4:$G$33,MATCH($B821,'Intervals'!$A$4:$A$33,0))&lt;&gt;"No",N(INDEX('Intervals'!$D$4:$D$33,MATCH($B821,'Intervals'!$A$4:$A$33,0)))&gt;0),EDATE($D821,N(INDEX('Intervals'!$D$4:$D$33,MATCH($B821,'Intervals'!$A$4:$A$33,0)))),""),""))</f>
        <v/>
      </c>
      <c r="H821" s="19">
        <f>IF($A821="","",IFERROR(IF(N(INDEX('Cars'!$H$4:$H$103,MATCH($A821,'Cars'!$A$4:$A$103,0)))&gt;0,INDEX('Cars'!$H$4:$H$103,MATCH($A821,'Cars'!$A$4:$A$103,0)),""),""))</f>
        <v/>
      </c>
      <c r="I821" s="19">
        <f>IF(OR($F821="",$H821=""),"",$F821-$H821)</f>
        <v/>
      </c>
      <c r="J821" s="21">
        <f>IF($G821="","",$G821-TODAY())</f>
        <v/>
      </c>
      <c r="K821" s="21">
        <f>IF($I821="","",IFERROR(IF(N(INDEX('Cars'!$J$4:$J$103,MATCH($A821,'Cars'!$A$4:$A$103,0)))&gt;0,ROUND($I821/INDEX('Cars'!$J$4:$J$103,MATCH($A821,'Cars'!$A$4:$A$103,0))*30,0),""),""))</f>
        <v/>
      </c>
      <c r="L821" s="21">
        <f>IF(AND($J821="",$K821=""),"",MIN(IF($J821="",99999,$J821),IF($K821="",99999,$K821)))</f>
        <v/>
      </c>
      <c r="M821" s="16">
        <f>IF(AND($I821="",$J821=""),"",IF(OR(AND($I821&lt;&gt;"",N($I821)&lt;0),AND($J821&lt;&gt;"",N($J821)&lt;0)),"Overdue",IF(OR(AND($I821&lt;&gt;"",N($I821)&lt;=IFERROR(INDEX('Intervals'!$E$4:$E$33,MATCH($B821,'Intervals'!$A$4:$A$33,0)),500)),AND($J821&lt;&gt;"",N($J821)&lt;=IFERROR(INDEX('Intervals'!$F$4:$F$33,MATCH($B821,'Intervals'!$A$4:$A$33,0)),14))),"Due soon","OK")))</f>
        <v/>
      </c>
      <c r="N821" s="15" t="n"/>
      <c r="O821" s="22">
        <f>IF(OR($M821="",$M821="OK"),"",$L821+ROW()/100000)</f>
        <v/>
      </c>
    </row>
    <row r="822">
      <c r="A822" s="15" t="n"/>
      <c r="B822" s="15" t="n"/>
      <c r="C822" s="16">
        <f>IF($B822="","",IFERROR(INDEX('Intervals'!$B$4:$B$33,MATCH($B822,'Intervals'!$A$4:$A$33,0)),""))</f>
        <v/>
      </c>
      <c r="D822" s="17" t="n"/>
      <c r="E822" s="18" t="n"/>
      <c r="F822" s="19">
        <f>IF(OR($B822="",$E822=""),"",IFERROR(IF(AND(INDEX('Intervals'!$G$4:$G$33,MATCH($B822,'Intervals'!$A$4:$A$33,0))&lt;&gt;"No",N(INDEX('Intervals'!$C$4:$C$33,MATCH($B822,'Intervals'!$A$4:$A$33,0)))&gt;0),$E822+N(INDEX('Intervals'!$C$4:$C$33,MATCH($B822,'Intervals'!$A$4:$A$33,0))),""),""))</f>
        <v/>
      </c>
      <c r="G822" s="20">
        <f>IF(OR($B822="",$D822=""),"",IFERROR(IF(AND(INDEX('Intervals'!$G$4:$G$33,MATCH($B822,'Intervals'!$A$4:$A$33,0))&lt;&gt;"No",N(INDEX('Intervals'!$D$4:$D$33,MATCH($B822,'Intervals'!$A$4:$A$33,0)))&gt;0),EDATE($D822,N(INDEX('Intervals'!$D$4:$D$33,MATCH($B822,'Intervals'!$A$4:$A$33,0)))),""),""))</f>
        <v/>
      </c>
      <c r="H822" s="19">
        <f>IF($A822="","",IFERROR(IF(N(INDEX('Cars'!$H$4:$H$103,MATCH($A822,'Cars'!$A$4:$A$103,0)))&gt;0,INDEX('Cars'!$H$4:$H$103,MATCH($A822,'Cars'!$A$4:$A$103,0)),""),""))</f>
        <v/>
      </c>
      <c r="I822" s="19">
        <f>IF(OR($F822="",$H822=""),"",$F822-$H822)</f>
        <v/>
      </c>
      <c r="J822" s="21">
        <f>IF($G822="","",$G822-TODAY())</f>
        <v/>
      </c>
      <c r="K822" s="21">
        <f>IF($I822="","",IFERROR(IF(N(INDEX('Cars'!$J$4:$J$103,MATCH($A822,'Cars'!$A$4:$A$103,0)))&gt;0,ROUND($I822/INDEX('Cars'!$J$4:$J$103,MATCH($A822,'Cars'!$A$4:$A$103,0))*30,0),""),""))</f>
        <v/>
      </c>
      <c r="L822" s="21">
        <f>IF(AND($J822="",$K822=""),"",MIN(IF($J822="",99999,$J822),IF($K822="",99999,$K822)))</f>
        <v/>
      </c>
      <c r="M822" s="16">
        <f>IF(AND($I822="",$J822=""),"",IF(OR(AND($I822&lt;&gt;"",N($I822)&lt;0),AND($J822&lt;&gt;"",N($J822)&lt;0)),"Overdue",IF(OR(AND($I822&lt;&gt;"",N($I822)&lt;=IFERROR(INDEX('Intervals'!$E$4:$E$33,MATCH($B822,'Intervals'!$A$4:$A$33,0)),500)),AND($J822&lt;&gt;"",N($J822)&lt;=IFERROR(INDEX('Intervals'!$F$4:$F$33,MATCH($B822,'Intervals'!$A$4:$A$33,0)),14))),"Due soon","OK")))</f>
        <v/>
      </c>
      <c r="N822" s="15" t="n"/>
      <c r="O822" s="22">
        <f>IF(OR($M822="",$M822="OK"),"",$L822+ROW()/100000)</f>
        <v/>
      </c>
    </row>
    <row r="823">
      <c r="A823" s="15" t="n"/>
      <c r="B823" s="15" t="n"/>
      <c r="C823" s="16">
        <f>IF($B823="","",IFERROR(INDEX('Intervals'!$B$4:$B$33,MATCH($B823,'Intervals'!$A$4:$A$33,0)),""))</f>
        <v/>
      </c>
      <c r="D823" s="17" t="n"/>
      <c r="E823" s="18" t="n"/>
      <c r="F823" s="19">
        <f>IF(OR($B823="",$E823=""),"",IFERROR(IF(AND(INDEX('Intervals'!$G$4:$G$33,MATCH($B823,'Intervals'!$A$4:$A$33,0))&lt;&gt;"No",N(INDEX('Intervals'!$C$4:$C$33,MATCH($B823,'Intervals'!$A$4:$A$33,0)))&gt;0),$E823+N(INDEX('Intervals'!$C$4:$C$33,MATCH($B823,'Intervals'!$A$4:$A$33,0))),""),""))</f>
        <v/>
      </c>
      <c r="G823" s="20">
        <f>IF(OR($B823="",$D823=""),"",IFERROR(IF(AND(INDEX('Intervals'!$G$4:$G$33,MATCH($B823,'Intervals'!$A$4:$A$33,0))&lt;&gt;"No",N(INDEX('Intervals'!$D$4:$D$33,MATCH($B823,'Intervals'!$A$4:$A$33,0)))&gt;0),EDATE($D823,N(INDEX('Intervals'!$D$4:$D$33,MATCH($B823,'Intervals'!$A$4:$A$33,0)))),""),""))</f>
        <v/>
      </c>
      <c r="H823" s="19">
        <f>IF($A823="","",IFERROR(IF(N(INDEX('Cars'!$H$4:$H$103,MATCH($A823,'Cars'!$A$4:$A$103,0)))&gt;0,INDEX('Cars'!$H$4:$H$103,MATCH($A823,'Cars'!$A$4:$A$103,0)),""),""))</f>
        <v/>
      </c>
      <c r="I823" s="19">
        <f>IF(OR($F823="",$H823=""),"",$F823-$H823)</f>
        <v/>
      </c>
      <c r="J823" s="21">
        <f>IF($G823="","",$G823-TODAY())</f>
        <v/>
      </c>
      <c r="K823" s="21">
        <f>IF($I823="","",IFERROR(IF(N(INDEX('Cars'!$J$4:$J$103,MATCH($A823,'Cars'!$A$4:$A$103,0)))&gt;0,ROUND($I823/INDEX('Cars'!$J$4:$J$103,MATCH($A823,'Cars'!$A$4:$A$103,0))*30,0),""),""))</f>
        <v/>
      </c>
      <c r="L823" s="21">
        <f>IF(AND($J823="",$K823=""),"",MIN(IF($J823="",99999,$J823),IF($K823="",99999,$K823)))</f>
        <v/>
      </c>
      <c r="M823" s="16">
        <f>IF(AND($I823="",$J823=""),"",IF(OR(AND($I823&lt;&gt;"",N($I823)&lt;0),AND($J823&lt;&gt;"",N($J823)&lt;0)),"Overdue",IF(OR(AND($I823&lt;&gt;"",N($I823)&lt;=IFERROR(INDEX('Intervals'!$E$4:$E$33,MATCH($B823,'Intervals'!$A$4:$A$33,0)),500)),AND($J823&lt;&gt;"",N($J823)&lt;=IFERROR(INDEX('Intervals'!$F$4:$F$33,MATCH($B823,'Intervals'!$A$4:$A$33,0)),14))),"Due soon","OK")))</f>
        <v/>
      </c>
      <c r="N823" s="15" t="n"/>
      <c r="O823" s="22">
        <f>IF(OR($M823="",$M823="OK"),"",$L823+ROW()/100000)</f>
        <v/>
      </c>
    </row>
    <row r="824">
      <c r="A824" s="15" t="n"/>
      <c r="B824" s="15" t="n"/>
      <c r="C824" s="16">
        <f>IF($B824="","",IFERROR(INDEX('Intervals'!$B$4:$B$33,MATCH($B824,'Intervals'!$A$4:$A$33,0)),""))</f>
        <v/>
      </c>
      <c r="D824" s="17" t="n"/>
      <c r="E824" s="18" t="n"/>
      <c r="F824" s="19">
        <f>IF(OR($B824="",$E824=""),"",IFERROR(IF(AND(INDEX('Intervals'!$G$4:$G$33,MATCH($B824,'Intervals'!$A$4:$A$33,0))&lt;&gt;"No",N(INDEX('Intervals'!$C$4:$C$33,MATCH($B824,'Intervals'!$A$4:$A$33,0)))&gt;0),$E824+N(INDEX('Intervals'!$C$4:$C$33,MATCH($B824,'Intervals'!$A$4:$A$33,0))),""),""))</f>
        <v/>
      </c>
      <c r="G824" s="20">
        <f>IF(OR($B824="",$D824=""),"",IFERROR(IF(AND(INDEX('Intervals'!$G$4:$G$33,MATCH($B824,'Intervals'!$A$4:$A$33,0))&lt;&gt;"No",N(INDEX('Intervals'!$D$4:$D$33,MATCH($B824,'Intervals'!$A$4:$A$33,0)))&gt;0),EDATE($D824,N(INDEX('Intervals'!$D$4:$D$33,MATCH($B824,'Intervals'!$A$4:$A$33,0)))),""),""))</f>
        <v/>
      </c>
      <c r="H824" s="19">
        <f>IF($A824="","",IFERROR(IF(N(INDEX('Cars'!$H$4:$H$103,MATCH($A824,'Cars'!$A$4:$A$103,0)))&gt;0,INDEX('Cars'!$H$4:$H$103,MATCH($A824,'Cars'!$A$4:$A$103,0)),""),""))</f>
        <v/>
      </c>
      <c r="I824" s="19">
        <f>IF(OR($F824="",$H824=""),"",$F824-$H824)</f>
        <v/>
      </c>
      <c r="J824" s="21">
        <f>IF($G824="","",$G824-TODAY())</f>
        <v/>
      </c>
      <c r="K824" s="21">
        <f>IF($I824="","",IFERROR(IF(N(INDEX('Cars'!$J$4:$J$103,MATCH($A824,'Cars'!$A$4:$A$103,0)))&gt;0,ROUND($I824/INDEX('Cars'!$J$4:$J$103,MATCH($A824,'Cars'!$A$4:$A$103,0))*30,0),""),""))</f>
        <v/>
      </c>
      <c r="L824" s="21">
        <f>IF(AND($J824="",$K824=""),"",MIN(IF($J824="",99999,$J824),IF($K824="",99999,$K824)))</f>
        <v/>
      </c>
      <c r="M824" s="16">
        <f>IF(AND($I824="",$J824=""),"",IF(OR(AND($I824&lt;&gt;"",N($I824)&lt;0),AND($J824&lt;&gt;"",N($J824)&lt;0)),"Overdue",IF(OR(AND($I824&lt;&gt;"",N($I824)&lt;=IFERROR(INDEX('Intervals'!$E$4:$E$33,MATCH($B824,'Intervals'!$A$4:$A$33,0)),500)),AND($J824&lt;&gt;"",N($J824)&lt;=IFERROR(INDEX('Intervals'!$F$4:$F$33,MATCH($B824,'Intervals'!$A$4:$A$33,0)),14))),"Due soon","OK")))</f>
        <v/>
      </c>
      <c r="N824" s="15" t="n"/>
      <c r="O824" s="22">
        <f>IF(OR($M824="",$M824="OK"),"",$L824+ROW()/100000)</f>
        <v/>
      </c>
    </row>
    <row r="825">
      <c r="A825" s="15" t="n"/>
      <c r="B825" s="15" t="n"/>
      <c r="C825" s="16">
        <f>IF($B825="","",IFERROR(INDEX('Intervals'!$B$4:$B$33,MATCH($B825,'Intervals'!$A$4:$A$33,0)),""))</f>
        <v/>
      </c>
      <c r="D825" s="17" t="n"/>
      <c r="E825" s="18" t="n"/>
      <c r="F825" s="19">
        <f>IF(OR($B825="",$E825=""),"",IFERROR(IF(AND(INDEX('Intervals'!$G$4:$G$33,MATCH($B825,'Intervals'!$A$4:$A$33,0))&lt;&gt;"No",N(INDEX('Intervals'!$C$4:$C$33,MATCH($B825,'Intervals'!$A$4:$A$33,0)))&gt;0),$E825+N(INDEX('Intervals'!$C$4:$C$33,MATCH($B825,'Intervals'!$A$4:$A$33,0))),""),""))</f>
        <v/>
      </c>
      <c r="G825" s="20">
        <f>IF(OR($B825="",$D825=""),"",IFERROR(IF(AND(INDEX('Intervals'!$G$4:$G$33,MATCH($B825,'Intervals'!$A$4:$A$33,0))&lt;&gt;"No",N(INDEX('Intervals'!$D$4:$D$33,MATCH($B825,'Intervals'!$A$4:$A$33,0)))&gt;0),EDATE($D825,N(INDEX('Intervals'!$D$4:$D$33,MATCH($B825,'Intervals'!$A$4:$A$33,0)))),""),""))</f>
        <v/>
      </c>
      <c r="H825" s="19">
        <f>IF($A825="","",IFERROR(IF(N(INDEX('Cars'!$H$4:$H$103,MATCH($A825,'Cars'!$A$4:$A$103,0)))&gt;0,INDEX('Cars'!$H$4:$H$103,MATCH($A825,'Cars'!$A$4:$A$103,0)),""),""))</f>
        <v/>
      </c>
      <c r="I825" s="19">
        <f>IF(OR($F825="",$H825=""),"",$F825-$H825)</f>
        <v/>
      </c>
      <c r="J825" s="21">
        <f>IF($G825="","",$G825-TODAY())</f>
        <v/>
      </c>
      <c r="K825" s="21">
        <f>IF($I825="","",IFERROR(IF(N(INDEX('Cars'!$J$4:$J$103,MATCH($A825,'Cars'!$A$4:$A$103,0)))&gt;0,ROUND($I825/INDEX('Cars'!$J$4:$J$103,MATCH($A825,'Cars'!$A$4:$A$103,0))*30,0),""),""))</f>
        <v/>
      </c>
      <c r="L825" s="21">
        <f>IF(AND($J825="",$K825=""),"",MIN(IF($J825="",99999,$J825),IF($K825="",99999,$K825)))</f>
        <v/>
      </c>
      <c r="M825" s="16">
        <f>IF(AND($I825="",$J825=""),"",IF(OR(AND($I825&lt;&gt;"",N($I825)&lt;0),AND($J825&lt;&gt;"",N($J825)&lt;0)),"Overdue",IF(OR(AND($I825&lt;&gt;"",N($I825)&lt;=IFERROR(INDEX('Intervals'!$E$4:$E$33,MATCH($B825,'Intervals'!$A$4:$A$33,0)),500)),AND($J825&lt;&gt;"",N($J825)&lt;=IFERROR(INDEX('Intervals'!$F$4:$F$33,MATCH($B825,'Intervals'!$A$4:$A$33,0)),14))),"Due soon","OK")))</f>
        <v/>
      </c>
      <c r="N825" s="15" t="n"/>
      <c r="O825" s="22">
        <f>IF(OR($M825="",$M825="OK"),"",$L825+ROW()/100000)</f>
        <v/>
      </c>
    </row>
    <row r="826">
      <c r="A826" s="15" t="n"/>
      <c r="B826" s="15" t="n"/>
      <c r="C826" s="16">
        <f>IF($B826="","",IFERROR(INDEX('Intervals'!$B$4:$B$33,MATCH($B826,'Intervals'!$A$4:$A$33,0)),""))</f>
        <v/>
      </c>
      <c r="D826" s="17" t="n"/>
      <c r="E826" s="18" t="n"/>
      <c r="F826" s="19">
        <f>IF(OR($B826="",$E826=""),"",IFERROR(IF(AND(INDEX('Intervals'!$G$4:$G$33,MATCH($B826,'Intervals'!$A$4:$A$33,0))&lt;&gt;"No",N(INDEX('Intervals'!$C$4:$C$33,MATCH($B826,'Intervals'!$A$4:$A$33,0)))&gt;0),$E826+N(INDEX('Intervals'!$C$4:$C$33,MATCH($B826,'Intervals'!$A$4:$A$33,0))),""),""))</f>
        <v/>
      </c>
      <c r="G826" s="20">
        <f>IF(OR($B826="",$D826=""),"",IFERROR(IF(AND(INDEX('Intervals'!$G$4:$G$33,MATCH($B826,'Intervals'!$A$4:$A$33,0))&lt;&gt;"No",N(INDEX('Intervals'!$D$4:$D$33,MATCH($B826,'Intervals'!$A$4:$A$33,0)))&gt;0),EDATE($D826,N(INDEX('Intervals'!$D$4:$D$33,MATCH($B826,'Intervals'!$A$4:$A$33,0)))),""),""))</f>
        <v/>
      </c>
      <c r="H826" s="19">
        <f>IF($A826="","",IFERROR(IF(N(INDEX('Cars'!$H$4:$H$103,MATCH($A826,'Cars'!$A$4:$A$103,0)))&gt;0,INDEX('Cars'!$H$4:$H$103,MATCH($A826,'Cars'!$A$4:$A$103,0)),""),""))</f>
        <v/>
      </c>
      <c r="I826" s="19">
        <f>IF(OR($F826="",$H826=""),"",$F826-$H826)</f>
        <v/>
      </c>
      <c r="J826" s="21">
        <f>IF($G826="","",$G826-TODAY())</f>
        <v/>
      </c>
      <c r="K826" s="21">
        <f>IF($I826="","",IFERROR(IF(N(INDEX('Cars'!$J$4:$J$103,MATCH($A826,'Cars'!$A$4:$A$103,0)))&gt;0,ROUND($I826/INDEX('Cars'!$J$4:$J$103,MATCH($A826,'Cars'!$A$4:$A$103,0))*30,0),""),""))</f>
        <v/>
      </c>
      <c r="L826" s="21">
        <f>IF(AND($J826="",$K826=""),"",MIN(IF($J826="",99999,$J826),IF($K826="",99999,$K826)))</f>
        <v/>
      </c>
      <c r="M826" s="16">
        <f>IF(AND($I826="",$J826=""),"",IF(OR(AND($I826&lt;&gt;"",N($I826)&lt;0),AND($J826&lt;&gt;"",N($J826)&lt;0)),"Overdue",IF(OR(AND($I826&lt;&gt;"",N($I826)&lt;=IFERROR(INDEX('Intervals'!$E$4:$E$33,MATCH($B826,'Intervals'!$A$4:$A$33,0)),500)),AND($J826&lt;&gt;"",N($J826)&lt;=IFERROR(INDEX('Intervals'!$F$4:$F$33,MATCH($B826,'Intervals'!$A$4:$A$33,0)),14))),"Due soon","OK")))</f>
        <v/>
      </c>
      <c r="N826" s="15" t="n"/>
      <c r="O826" s="22">
        <f>IF(OR($M826="",$M826="OK"),"",$L826+ROW()/100000)</f>
        <v/>
      </c>
    </row>
    <row r="827">
      <c r="A827" s="15" t="n"/>
      <c r="B827" s="15" t="n"/>
      <c r="C827" s="16">
        <f>IF($B827="","",IFERROR(INDEX('Intervals'!$B$4:$B$33,MATCH($B827,'Intervals'!$A$4:$A$33,0)),""))</f>
        <v/>
      </c>
      <c r="D827" s="17" t="n"/>
      <c r="E827" s="18" t="n"/>
      <c r="F827" s="19">
        <f>IF(OR($B827="",$E827=""),"",IFERROR(IF(AND(INDEX('Intervals'!$G$4:$G$33,MATCH($B827,'Intervals'!$A$4:$A$33,0))&lt;&gt;"No",N(INDEX('Intervals'!$C$4:$C$33,MATCH($B827,'Intervals'!$A$4:$A$33,0)))&gt;0),$E827+N(INDEX('Intervals'!$C$4:$C$33,MATCH($B827,'Intervals'!$A$4:$A$33,0))),""),""))</f>
        <v/>
      </c>
      <c r="G827" s="20">
        <f>IF(OR($B827="",$D827=""),"",IFERROR(IF(AND(INDEX('Intervals'!$G$4:$G$33,MATCH($B827,'Intervals'!$A$4:$A$33,0))&lt;&gt;"No",N(INDEX('Intervals'!$D$4:$D$33,MATCH($B827,'Intervals'!$A$4:$A$33,0)))&gt;0),EDATE($D827,N(INDEX('Intervals'!$D$4:$D$33,MATCH($B827,'Intervals'!$A$4:$A$33,0)))),""),""))</f>
        <v/>
      </c>
      <c r="H827" s="19">
        <f>IF($A827="","",IFERROR(IF(N(INDEX('Cars'!$H$4:$H$103,MATCH($A827,'Cars'!$A$4:$A$103,0)))&gt;0,INDEX('Cars'!$H$4:$H$103,MATCH($A827,'Cars'!$A$4:$A$103,0)),""),""))</f>
        <v/>
      </c>
      <c r="I827" s="19">
        <f>IF(OR($F827="",$H827=""),"",$F827-$H827)</f>
        <v/>
      </c>
      <c r="J827" s="21">
        <f>IF($G827="","",$G827-TODAY())</f>
        <v/>
      </c>
      <c r="K827" s="21">
        <f>IF($I827="","",IFERROR(IF(N(INDEX('Cars'!$J$4:$J$103,MATCH($A827,'Cars'!$A$4:$A$103,0)))&gt;0,ROUND($I827/INDEX('Cars'!$J$4:$J$103,MATCH($A827,'Cars'!$A$4:$A$103,0))*30,0),""),""))</f>
        <v/>
      </c>
      <c r="L827" s="21">
        <f>IF(AND($J827="",$K827=""),"",MIN(IF($J827="",99999,$J827),IF($K827="",99999,$K827)))</f>
        <v/>
      </c>
      <c r="M827" s="16">
        <f>IF(AND($I827="",$J827=""),"",IF(OR(AND($I827&lt;&gt;"",N($I827)&lt;0),AND($J827&lt;&gt;"",N($J827)&lt;0)),"Overdue",IF(OR(AND($I827&lt;&gt;"",N($I827)&lt;=IFERROR(INDEX('Intervals'!$E$4:$E$33,MATCH($B827,'Intervals'!$A$4:$A$33,0)),500)),AND($J827&lt;&gt;"",N($J827)&lt;=IFERROR(INDEX('Intervals'!$F$4:$F$33,MATCH($B827,'Intervals'!$A$4:$A$33,0)),14))),"Due soon","OK")))</f>
        <v/>
      </c>
      <c r="N827" s="15" t="n"/>
      <c r="O827" s="22">
        <f>IF(OR($M827="",$M827="OK"),"",$L827+ROW()/100000)</f>
        <v/>
      </c>
    </row>
    <row r="828">
      <c r="A828" s="15" t="n"/>
      <c r="B828" s="15" t="n"/>
      <c r="C828" s="16">
        <f>IF($B828="","",IFERROR(INDEX('Intervals'!$B$4:$B$33,MATCH($B828,'Intervals'!$A$4:$A$33,0)),""))</f>
        <v/>
      </c>
      <c r="D828" s="17" t="n"/>
      <c r="E828" s="18" t="n"/>
      <c r="F828" s="19">
        <f>IF(OR($B828="",$E828=""),"",IFERROR(IF(AND(INDEX('Intervals'!$G$4:$G$33,MATCH($B828,'Intervals'!$A$4:$A$33,0))&lt;&gt;"No",N(INDEX('Intervals'!$C$4:$C$33,MATCH($B828,'Intervals'!$A$4:$A$33,0)))&gt;0),$E828+N(INDEX('Intervals'!$C$4:$C$33,MATCH($B828,'Intervals'!$A$4:$A$33,0))),""),""))</f>
        <v/>
      </c>
      <c r="G828" s="20">
        <f>IF(OR($B828="",$D828=""),"",IFERROR(IF(AND(INDEX('Intervals'!$G$4:$G$33,MATCH($B828,'Intervals'!$A$4:$A$33,0))&lt;&gt;"No",N(INDEX('Intervals'!$D$4:$D$33,MATCH($B828,'Intervals'!$A$4:$A$33,0)))&gt;0),EDATE($D828,N(INDEX('Intervals'!$D$4:$D$33,MATCH($B828,'Intervals'!$A$4:$A$33,0)))),""),""))</f>
        <v/>
      </c>
      <c r="H828" s="19">
        <f>IF($A828="","",IFERROR(IF(N(INDEX('Cars'!$H$4:$H$103,MATCH($A828,'Cars'!$A$4:$A$103,0)))&gt;0,INDEX('Cars'!$H$4:$H$103,MATCH($A828,'Cars'!$A$4:$A$103,0)),""),""))</f>
        <v/>
      </c>
      <c r="I828" s="19">
        <f>IF(OR($F828="",$H828=""),"",$F828-$H828)</f>
        <v/>
      </c>
      <c r="J828" s="21">
        <f>IF($G828="","",$G828-TODAY())</f>
        <v/>
      </c>
      <c r="K828" s="21">
        <f>IF($I828="","",IFERROR(IF(N(INDEX('Cars'!$J$4:$J$103,MATCH($A828,'Cars'!$A$4:$A$103,0)))&gt;0,ROUND($I828/INDEX('Cars'!$J$4:$J$103,MATCH($A828,'Cars'!$A$4:$A$103,0))*30,0),""),""))</f>
        <v/>
      </c>
      <c r="L828" s="21">
        <f>IF(AND($J828="",$K828=""),"",MIN(IF($J828="",99999,$J828),IF($K828="",99999,$K828)))</f>
        <v/>
      </c>
      <c r="M828" s="16">
        <f>IF(AND($I828="",$J828=""),"",IF(OR(AND($I828&lt;&gt;"",N($I828)&lt;0),AND($J828&lt;&gt;"",N($J828)&lt;0)),"Overdue",IF(OR(AND($I828&lt;&gt;"",N($I828)&lt;=IFERROR(INDEX('Intervals'!$E$4:$E$33,MATCH($B828,'Intervals'!$A$4:$A$33,0)),500)),AND($J828&lt;&gt;"",N($J828)&lt;=IFERROR(INDEX('Intervals'!$F$4:$F$33,MATCH($B828,'Intervals'!$A$4:$A$33,0)),14))),"Due soon","OK")))</f>
        <v/>
      </c>
      <c r="N828" s="15" t="n"/>
      <c r="O828" s="22">
        <f>IF(OR($M828="",$M828="OK"),"",$L828+ROW()/100000)</f>
        <v/>
      </c>
    </row>
    <row r="829">
      <c r="A829" s="15" t="n"/>
      <c r="B829" s="15" t="n"/>
      <c r="C829" s="16">
        <f>IF($B829="","",IFERROR(INDEX('Intervals'!$B$4:$B$33,MATCH($B829,'Intervals'!$A$4:$A$33,0)),""))</f>
        <v/>
      </c>
      <c r="D829" s="17" t="n"/>
      <c r="E829" s="18" t="n"/>
      <c r="F829" s="19">
        <f>IF(OR($B829="",$E829=""),"",IFERROR(IF(AND(INDEX('Intervals'!$G$4:$G$33,MATCH($B829,'Intervals'!$A$4:$A$33,0))&lt;&gt;"No",N(INDEX('Intervals'!$C$4:$C$33,MATCH($B829,'Intervals'!$A$4:$A$33,0)))&gt;0),$E829+N(INDEX('Intervals'!$C$4:$C$33,MATCH($B829,'Intervals'!$A$4:$A$33,0))),""),""))</f>
        <v/>
      </c>
      <c r="G829" s="20">
        <f>IF(OR($B829="",$D829=""),"",IFERROR(IF(AND(INDEX('Intervals'!$G$4:$G$33,MATCH($B829,'Intervals'!$A$4:$A$33,0))&lt;&gt;"No",N(INDEX('Intervals'!$D$4:$D$33,MATCH($B829,'Intervals'!$A$4:$A$33,0)))&gt;0),EDATE($D829,N(INDEX('Intervals'!$D$4:$D$33,MATCH($B829,'Intervals'!$A$4:$A$33,0)))),""),""))</f>
        <v/>
      </c>
      <c r="H829" s="19">
        <f>IF($A829="","",IFERROR(IF(N(INDEX('Cars'!$H$4:$H$103,MATCH($A829,'Cars'!$A$4:$A$103,0)))&gt;0,INDEX('Cars'!$H$4:$H$103,MATCH($A829,'Cars'!$A$4:$A$103,0)),""),""))</f>
        <v/>
      </c>
      <c r="I829" s="19">
        <f>IF(OR($F829="",$H829=""),"",$F829-$H829)</f>
        <v/>
      </c>
      <c r="J829" s="21">
        <f>IF($G829="","",$G829-TODAY())</f>
        <v/>
      </c>
      <c r="K829" s="21">
        <f>IF($I829="","",IFERROR(IF(N(INDEX('Cars'!$J$4:$J$103,MATCH($A829,'Cars'!$A$4:$A$103,0)))&gt;0,ROUND($I829/INDEX('Cars'!$J$4:$J$103,MATCH($A829,'Cars'!$A$4:$A$103,0))*30,0),""),""))</f>
        <v/>
      </c>
      <c r="L829" s="21">
        <f>IF(AND($J829="",$K829=""),"",MIN(IF($J829="",99999,$J829),IF($K829="",99999,$K829)))</f>
        <v/>
      </c>
      <c r="M829" s="16">
        <f>IF(AND($I829="",$J829=""),"",IF(OR(AND($I829&lt;&gt;"",N($I829)&lt;0),AND($J829&lt;&gt;"",N($J829)&lt;0)),"Overdue",IF(OR(AND($I829&lt;&gt;"",N($I829)&lt;=IFERROR(INDEX('Intervals'!$E$4:$E$33,MATCH($B829,'Intervals'!$A$4:$A$33,0)),500)),AND($J829&lt;&gt;"",N($J829)&lt;=IFERROR(INDEX('Intervals'!$F$4:$F$33,MATCH($B829,'Intervals'!$A$4:$A$33,0)),14))),"Due soon","OK")))</f>
        <v/>
      </c>
      <c r="N829" s="15" t="n"/>
      <c r="O829" s="22">
        <f>IF(OR($M829="",$M829="OK"),"",$L829+ROW()/100000)</f>
        <v/>
      </c>
    </row>
    <row r="830">
      <c r="A830" s="15" t="n"/>
      <c r="B830" s="15" t="n"/>
      <c r="C830" s="16">
        <f>IF($B830="","",IFERROR(INDEX('Intervals'!$B$4:$B$33,MATCH($B830,'Intervals'!$A$4:$A$33,0)),""))</f>
        <v/>
      </c>
      <c r="D830" s="17" t="n"/>
      <c r="E830" s="18" t="n"/>
      <c r="F830" s="19">
        <f>IF(OR($B830="",$E830=""),"",IFERROR(IF(AND(INDEX('Intervals'!$G$4:$G$33,MATCH($B830,'Intervals'!$A$4:$A$33,0))&lt;&gt;"No",N(INDEX('Intervals'!$C$4:$C$33,MATCH($B830,'Intervals'!$A$4:$A$33,0)))&gt;0),$E830+N(INDEX('Intervals'!$C$4:$C$33,MATCH($B830,'Intervals'!$A$4:$A$33,0))),""),""))</f>
        <v/>
      </c>
      <c r="G830" s="20">
        <f>IF(OR($B830="",$D830=""),"",IFERROR(IF(AND(INDEX('Intervals'!$G$4:$G$33,MATCH($B830,'Intervals'!$A$4:$A$33,0))&lt;&gt;"No",N(INDEX('Intervals'!$D$4:$D$33,MATCH($B830,'Intervals'!$A$4:$A$33,0)))&gt;0),EDATE($D830,N(INDEX('Intervals'!$D$4:$D$33,MATCH($B830,'Intervals'!$A$4:$A$33,0)))),""),""))</f>
        <v/>
      </c>
      <c r="H830" s="19">
        <f>IF($A830="","",IFERROR(IF(N(INDEX('Cars'!$H$4:$H$103,MATCH($A830,'Cars'!$A$4:$A$103,0)))&gt;0,INDEX('Cars'!$H$4:$H$103,MATCH($A830,'Cars'!$A$4:$A$103,0)),""),""))</f>
        <v/>
      </c>
      <c r="I830" s="19">
        <f>IF(OR($F830="",$H830=""),"",$F830-$H830)</f>
        <v/>
      </c>
      <c r="J830" s="21">
        <f>IF($G830="","",$G830-TODAY())</f>
        <v/>
      </c>
      <c r="K830" s="21">
        <f>IF($I830="","",IFERROR(IF(N(INDEX('Cars'!$J$4:$J$103,MATCH($A830,'Cars'!$A$4:$A$103,0)))&gt;0,ROUND($I830/INDEX('Cars'!$J$4:$J$103,MATCH($A830,'Cars'!$A$4:$A$103,0))*30,0),""),""))</f>
        <v/>
      </c>
      <c r="L830" s="21">
        <f>IF(AND($J830="",$K830=""),"",MIN(IF($J830="",99999,$J830),IF($K830="",99999,$K830)))</f>
        <v/>
      </c>
      <c r="M830" s="16">
        <f>IF(AND($I830="",$J830=""),"",IF(OR(AND($I830&lt;&gt;"",N($I830)&lt;0),AND($J830&lt;&gt;"",N($J830)&lt;0)),"Overdue",IF(OR(AND($I830&lt;&gt;"",N($I830)&lt;=IFERROR(INDEX('Intervals'!$E$4:$E$33,MATCH($B830,'Intervals'!$A$4:$A$33,0)),500)),AND($J830&lt;&gt;"",N($J830)&lt;=IFERROR(INDEX('Intervals'!$F$4:$F$33,MATCH($B830,'Intervals'!$A$4:$A$33,0)),14))),"Due soon","OK")))</f>
        <v/>
      </c>
      <c r="N830" s="15" t="n"/>
      <c r="O830" s="22">
        <f>IF(OR($M830="",$M830="OK"),"",$L830+ROW()/100000)</f>
        <v/>
      </c>
    </row>
    <row r="831">
      <c r="A831" s="15" t="n"/>
      <c r="B831" s="15" t="n"/>
      <c r="C831" s="16">
        <f>IF($B831="","",IFERROR(INDEX('Intervals'!$B$4:$B$33,MATCH($B831,'Intervals'!$A$4:$A$33,0)),""))</f>
        <v/>
      </c>
      <c r="D831" s="17" t="n"/>
      <c r="E831" s="18" t="n"/>
      <c r="F831" s="19">
        <f>IF(OR($B831="",$E831=""),"",IFERROR(IF(AND(INDEX('Intervals'!$G$4:$G$33,MATCH($B831,'Intervals'!$A$4:$A$33,0))&lt;&gt;"No",N(INDEX('Intervals'!$C$4:$C$33,MATCH($B831,'Intervals'!$A$4:$A$33,0)))&gt;0),$E831+N(INDEX('Intervals'!$C$4:$C$33,MATCH($B831,'Intervals'!$A$4:$A$33,0))),""),""))</f>
        <v/>
      </c>
      <c r="G831" s="20">
        <f>IF(OR($B831="",$D831=""),"",IFERROR(IF(AND(INDEX('Intervals'!$G$4:$G$33,MATCH($B831,'Intervals'!$A$4:$A$33,0))&lt;&gt;"No",N(INDEX('Intervals'!$D$4:$D$33,MATCH($B831,'Intervals'!$A$4:$A$33,0)))&gt;0),EDATE($D831,N(INDEX('Intervals'!$D$4:$D$33,MATCH($B831,'Intervals'!$A$4:$A$33,0)))),""),""))</f>
        <v/>
      </c>
      <c r="H831" s="19">
        <f>IF($A831="","",IFERROR(IF(N(INDEX('Cars'!$H$4:$H$103,MATCH($A831,'Cars'!$A$4:$A$103,0)))&gt;0,INDEX('Cars'!$H$4:$H$103,MATCH($A831,'Cars'!$A$4:$A$103,0)),""),""))</f>
        <v/>
      </c>
      <c r="I831" s="19">
        <f>IF(OR($F831="",$H831=""),"",$F831-$H831)</f>
        <v/>
      </c>
      <c r="J831" s="21">
        <f>IF($G831="","",$G831-TODAY())</f>
        <v/>
      </c>
      <c r="K831" s="21">
        <f>IF($I831="","",IFERROR(IF(N(INDEX('Cars'!$J$4:$J$103,MATCH($A831,'Cars'!$A$4:$A$103,0)))&gt;0,ROUND($I831/INDEX('Cars'!$J$4:$J$103,MATCH($A831,'Cars'!$A$4:$A$103,0))*30,0),""),""))</f>
        <v/>
      </c>
      <c r="L831" s="21">
        <f>IF(AND($J831="",$K831=""),"",MIN(IF($J831="",99999,$J831),IF($K831="",99999,$K831)))</f>
        <v/>
      </c>
      <c r="M831" s="16">
        <f>IF(AND($I831="",$J831=""),"",IF(OR(AND($I831&lt;&gt;"",N($I831)&lt;0),AND($J831&lt;&gt;"",N($J831)&lt;0)),"Overdue",IF(OR(AND($I831&lt;&gt;"",N($I831)&lt;=IFERROR(INDEX('Intervals'!$E$4:$E$33,MATCH($B831,'Intervals'!$A$4:$A$33,0)),500)),AND($J831&lt;&gt;"",N($J831)&lt;=IFERROR(INDEX('Intervals'!$F$4:$F$33,MATCH($B831,'Intervals'!$A$4:$A$33,0)),14))),"Due soon","OK")))</f>
        <v/>
      </c>
      <c r="N831" s="15" t="n"/>
      <c r="O831" s="22">
        <f>IF(OR($M831="",$M831="OK"),"",$L831+ROW()/100000)</f>
        <v/>
      </c>
    </row>
    <row r="832">
      <c r="A832" s="15" t="n"/>
      <c r="B832" s="15" t="n"/>
      <c r="C832" s="16">
        <f>IF($B832="","",IFERROR(INDEX('Intervals'!$B$4:$B$33,MATCH($B832,'Intervals'!$A$4:$A$33,0)),""))</f>
        <v/>
      </c>
      <c r="D832" s="17" t="n"/>
      <c r="E832" s="18" t="n"/>
      <c r="F832" s="19">
        <f>IF(OR($B832="",$E832=""),"",IFERROR(IF(AND(INDEX('Intervals'!$G$4:$G$33,MATCH($B832,'Intervals'!$A$4:$A$33,0))&lt;&gt;"No",N(INDEX('Intervals'!$C$4:$C$33,MATCH($B832,'Intervals'!$A$4:$A$33,0)))&gt;0),$E832+N(INDEX('Intervals'!$C$4:$C$33,MATCH($B832,'Intervals'!$A$4:$A$33,0))),""),""))</f>
        <v/>
      </c>
      <c r="G832" s="20">
        <f>IF(OR($B832="",$D832=""),"",IFERROR(IF(AND(INDEX('Intervals'!$G$4:$G$33,MATCH($B832,'Intervals'!$A$4:$A$33,0))&lt;&gt;"No",N(INDEX('Intervals'!$D$4:$D$33,MATCH($B832,'Intervals'!$A$4:$A$33,0)))&gt;0),EDATE($D832,N(INDEX('Intervals'!$D$4:$D$33,MATCH($B832,'Intervals'!$A$4:$A$33,0)))),""),""))</f>
        <v/>
      </c>
      <c r="H832" s="19">
        <f>IF($A832="","",IFERROR(IF(N(INDEX('Cars'!$H$4:$H$103,MATCH($A832,'Cars'!$A$4:$A$103,0)))&gt;0,INDEX('Cars'!$H$4:$H$103,MATCH($A832,'Cars'!$A$4:$A$103,0)),""),""))</f>
        <v/>
      </c>
      <c r="I832" s="19">
        <f>IF(OR($F832="",$H832=""),"",$F832-$H832)</f>
        <v/>
      </c>
      <c r="J832" s="21">
        <f>IF($G832="","",$G832-TODAY())</f>
        <v/>
      </c>
      <c r="K832" s="21">
        <f>IF($I832="","",IFERROR(IF(N(INDEX('Cars'!$J$4:$J$103,MATCH($A832,'Cars'!$A$4:$A$103,0)))&gt;0,ROUND($I832/INDEX('Cars'!$J$4:$J$103,MATCH($A832,'Cars'!$A$4:$A$103,0))*30,0),""),""))</f>
        <v/>
      </c>
      <c r="L832" s="21">
        <f>IF(AND($J832="",$K832=""),"",MIN(IF($J832="",99999,$J832),IF($K832="",99999,$K832)))</f>
        <v/>
      </c>
      <c r="M832" s="16">
        <f>IF(AND($I832="",$J832=""),"",IF(OR(AND($I832&lt;&gt;"",N($I832)&lt;0),AND($J832&lt;&gt;"",N($J832)&lt;0)),"Overdue",IF(OR(AND($I832&lt;&gt;"",N($I832)&lt;=IFERROR(INDEX('Intervals'!$E$4:$E$33,MATCH($B832,'Intervals'!$A$4:$A$33,0)),500)),AND($J832&lt;&gt;"",N($J832)&lt;=IFERROR(INDEX('Intervals'!$F$4:$F$33,MATCH($B832,'Intervals'!$A$4:$A$33,0)),14))),"Due soon","OK")))</f>
        <v/>
      </c>
      <c r="N832" s="15" t="n"/>
      <c r="O832" s="22">
        <f>IF(OR($M832="",$M832="OK"),"",$L832+ROW()/100000)</f>
        <v/>
      </c>
    </row>
    <row r="833">
      <c r="A833" s="15" t="n"/>
      <c r="B833" s="15" t="n"/>
      <c r="C833" s="16">
        <f>IF($B833="","",IFERROR(INDEX('Intervals'!$B$4:$B$33,MATCH($B833,'Intervals'!$A$4:$A$33,0)),""))</f>
        <v/>
      </c>
      <c r="D833" s="17" t="n"/>
      <c r="E833" s="18" t="n"/>
      <c r="F833" s="19">
        <f>IF(OR($B833="",$E833=""),"",IFERROR(IF(AND(INDEX('Intervals'!$G$4:$G$33,MATCH($B833,'Intervals'!$A$4:$A$33,0))&lt;&gt;"No",N(INDEX('Intervals'!$C$4:$C$33,MATCH($B833,'Intervals'!$A$4:$A$33,0)))&gt;0),$E833+N(INDEX('Intervals'!$C$4:$C$33,MATCH($B833,'Intervals'!$A$4:$A$33,0))),""),""))</f>
        <v/>
      </c>
      <c r="G833" s="20">
        <f>IF(OR($B833="",$D833=""),"",IFERROR(IF(AND(INDEX('Intervals'!$G$4:$G$33,MATCH($B833,'Intervals'!$A$4:$A$33,0))&lt;&gt;"No",N(INDEX('Intervals'!$D$4:$D$33,MATCH($B833,'Intervals'!$A$4:$A$33,0)))&gt;0),EDATE($D833,N(INDEX('Intervals'!$D$4:$D$33,MATCH($B833,'Intervals'!$A$4:$A$33,0)))),""),""))</f>
        <v/>
      </c>
      <c r="H833" s="19">
        <f>IF($A833="","",IFERROR(IF(N(INDEX('Cars'!$H$4:$H$103,MATCH($A833,'Cars'!$A$4:$A$103,0)))&gt;0,INDEX('Cars'!$H$4:$H$103,MATCH($A833,'Cars'!$A$4:$A$103,0)),""),""))</f>
        <v/>
      </c>
      <c r="I833" s="19">
        <f>IF(OR($F833="",$H833=""),"",$F833-$H833)</f>
        <v/>
      </c>
      <c r="J833" s="21">
        <f>IF($G833="","",$G833-TODAY())</f>
        <v/>
      </c>
      <c r="K833" s="21">
        <f>IF($I833="","",IFERROR(IF(N(INDEX('Cars'!$J$4:$J$103,MATCH($A833,'Cars'!$A$4:$A$103,0)))&gt;0,ROUND($I833/INDEX('Cars'!$J$4:$J$103,MATCH($A833,'Cars'!$A$4:$A$103,0))*30,0),""),""))</f>
        <v/>
      </c>
      <c r="L833" s="21">
        <f>IF(AND($J833="",$K833=""),"",MIN(IF($J833="",99999,$J833),IF($K833="",99999,$K833)))</f>
        <v/>
      </c>
      <c r="M833" s="16">
        <f>IF(AND($I833="",$J833=""),"",IF(OR(AND($I833&lt;&gt;"",N($I833)&lt;0),AND($J833&lt;&gt;"",N($J833)&lt;0)),"Overdue",IF(OR(AND($I833&lt;&gt;"",N($I833)&lt;=IFERROR(INDEX('Intervals'!$E$4:$E$33,MATCH($B833,'Intervals'!$A$4:$A$33,0)),500)),AND($J833&lt;&gt;"",N($J833)&lt;=IFERROR(INDEX('Intervals'!$F$4:$F$33,MATCH($B833,'Intervals'!$A$4:$A$33,0)),14))),"Due soon","OK")))</f>
        <v/>
      </c>
      <c r="N833" s="15" t="n"/>
      <c r="O833" s="22">
        <f>IF(OR($M833="",$M833="OK"),"",$L833+ROW()/100000)</f>
        <v/>
      </c>
    </row>
    <row r="834">
      <c r="A834" s="15" t="n"/>
      <c r="B834" s="15" t="n"/>
      <c r="C834" s="16">
        <f>IF($B834="","",IFERROR(INDEX('Intervals'!$B$4:$B$33,MATCH($B834,'Intervals'!$A$4:$A$33,0)),""))</f>
        <v/>
      </c>
      <c r="D834" s="17" t="n"/>
      <c r="E834" s="18" t="n"/>
      <c r="F834" s="19">
        <f>IF(OR($B834="",$E834=""),"",IFERROR(IF(AND(INDEX('Intervals'!$G$4:$G$33,MATCH($B834,'Intervals'!$A$4:$A$33,0))&lt;&gt;"No",N(INDEX('Intervals'!$C$4:$C$33,MATCH($B834,'Intervals'!$A$4:$A$33,0)))&gt;0),$E834+N(INDEX('Intervals'!$C$4:$C$33,MATCH($B834,'Intervals'!$A$4:$A$33,0))),""),""))</f>
        <v/>
      </c>
      <c r="G834" s="20">
        <f>IF(OR($B834="",$D834=""),"",IFERROR(IF(AND(INDEX('Intervals'!$G$4:$G$33,MATCH($B834,'Intervals'!$A$4:$A$33,0))&lt;&gt;"No",N(INDEX('Intervals'!$D$4:$D$33,MATCH($B834,'Intervals'!$A$4:$A$33,0)))&gt;0),EDATE($D834,N(INDEX('Intervals'!$D$4:$D$33,MATCH($B834,'Intervals'!$A$4:$A$33,0)))),""),""))</f>
        <v/>
      </c>
      <c r="H834" s="19">
        <f>IF($A834="","",IFERROR(IF(N(INDEX('Cars'!$H$4:$H$103,MATCH($A834,'Cars'!$A$4:$A$103,0)))&gt;0,INDEX('Cars'!$H$4:$H$103,MATCH($A834,'Cars'!$A$4:$A$103,0)),""),""))</f>
        <v/>
      </c>
      <c r="I834" s="19">
        <f>IF(OR($F834="",$H834=""),"",$F834-$H834)</f>
        <v/>
      </c>
      <c r="J834" s="21">
        <f>IF($G834="","",$G834-TODAY())</f>
        <v/>
      </c>
      <c r="K834" s="21">
        <f>IF($I834="","",IFERROR(IF(N(INDEX('Cars'!$J$4:$J$103,MATCH($A834,'Cars'!$A$4:$A$103,0)))&gt;0,ROUND($I834/INDEX('Cars'!$J$4:$J$103,MATCH($A834,'Cars'!$A$4:$A$103,0))*30,0),""),""))</f>
        <v/>
      </c>
      <c r="L834" s="21">
        <f>IF(AND($J834="",$K834=""),"",MIN(IF($J834="",99999,$J834),IF($K834="",99999,$K834)))</f>
        <v/>
      </c>
      <c r="M834" s="16">
        <f>IF(AND($I834="",$J834=""),"",IF(OR(AND($I834&lt;&gt;"",N($I834)&lt;0),AND($J834&lt;&gt;"",N($J834)&lt;0)),"Overdue",IF(OR(AND($I834&lt;&gt;"",N($I834)&lt;=IFERROR(INDEX('Intervals'!$E$4:$E$33,MATCH($B834,'Intervals'!$A$4:$A$33,0)),500)),AND($J834&lt;&gt;"",N($J834)&lt;=IFERROR(INDEX('Intervals'!$F$4:$F$33,MATCH($B834,'Intervals'!$A$4:$A$33,0)),14))),"Due soon","OK")))</f>
        <v/>
      </c>
      <c r="N834" s="15" t="n"/>
      <c r="O834" s="22">
        <f>IF(OR($M834="",$M834="OK"),"",$L834+ROW()/100000)</f>
        <v/>
      </c>
    </row>
    <row r="835">
      <c r="A835" s="15" t="n"/>
      <c r="B835" s="15" t="n"/>
      <c r="C835" s="16">
        <f>IF($B835="","",IFERROR(INDEX('Intervals'!$B$4:$B$33,MATCH($B835,'Intervals'!$A$4:$A$33,0)),""))</f>
        <v/>
      </c>
      <c r="D835" s="17" t="n"/>
      <c r="E835" s="18" t="n"/>
      <c r="F835" s="19">
        <f>IF(OR($B835="",$E835=""),"",IFERROR(IF(AND(INDEX('Intervals'!$G$4:$G$33,MATCH($B835,'Intervals'!$A$4:$A$33,0))&lt;&gt;"No",N(INDEX('Intervals'!$C$4:$C$33,MATCH($B835,'Intervals'!$A$4:$A$33,0)))&gt;0),$E835+N(INDEX('Intervals'!$C$4:$C$33,MATCH($B835,'Intervals'!$A$4:$A$33,0))),""),""))</f>
        <v/>
      </c>
      <c r="G835" s="20">
        <f>IF(OR($B835="",$D835=""),"",IFERROR(IF(AND(INDEX('Intervals'!$G$4:$G$33,MATCH($B835,'Intervals'!$A$4:$A$33,0))&lt;&gt;"No",N(INDEX('Intervals'!$D$4:$D$33,MATCH($B835,'Intervals'!$A$4:$A$33,0)))&gt;0),EDATE($D835,N(INDEX('Intervals'!$D$4:$D$33,MATCH($B835,'Intervals'!$A$4:$A$33,0)))),""),""))</f>
        <v/>
      </c>
      <c r="H835" s="19">
        <f>IF($A835="","",IFERROR(IF(N(INDEX('Cars'!$H$4:$H$103,MATCH($A835,'Cars'!$A$4:$A$103,0)))&gt;0,INDEX('Cars'!$H$4:$H$103,MATCH($A835,'Cars'!$A$4:$A$103,0)),""),""))</f>
        <v/>
      </c>
      <c r="I835" s="19">
        <f>IF(OR($F835="",$H835=""),"",$F835-$H835)</f>
        <v/>
      </c>
      <c r="J835" s="21">
        <f>IF($G835="","",$G835-TODAY())</f>
        <v/>
      </c>
      <c r="K835" s="21">
        <f>IF($I835="","",IFERROR(IF(N(INDEX('Cars'!$J$4:$J$103,MATCH($A835,'Cars'!$A$4:$A$103,0)))&gt;0,ROUND($I835/INDEX('Cars'!$J$4:$J$103,MATCH($A835,'Cars'!$A$4:$A$103,0))*30,0),""),""))</f>
        <v/>
      </c>
      <c r="L835" s="21">
        <f>IF(AND($J835="",$K835=""),"",MIN(IF($J835="",99999,$J835),IF($K835="",99999,$K835)))</f>
        <v/>
      </c>
      <c r="M835" s="16">
        <f>IF(AND($I835="",$J835=""),"",IF(OR(AND($I835&lt;&gt;"",N($I835)&lt;0),AND($J835&lt;&gt;"",N($J835)&lt;0)),"Overdue",IF(OR(AND($I835&lt;&gt;"",N($I835)&lt;=IFERROR(INDEX('Intervals'!$E$4:$E$33,MATCH($B835,'Intervals'!$A$4:$A$33,0)),500)),AND($J835&lt;&gt;"",N($J835)&lt;=IFERROR(INDEX('Intervals'!$F$4:$F$33,MATCH($B835,'Intervals'!$A$4:$A$33,0)),14))),"Due soon","OK")))</f>
        <v/>
      </c>
      <c r="N835" s="15" t="n"/>
      <c r="O835" s="22">
        <f>IF(OR($M835="",$M835="OK"),"",$L835+ROW()/100000)</f>
        <v/>
      </c>
    </row>
    <row r="836">
      <c r="A836" s="15" t="n"/>
      <c r="B836" s="15" t="n"/>
      <c r="C836" s="16">
        <f>IF($B836="","",IFERROR(INDEX('Intervals'!$B$4:$B$33,MATCH($B836,'Intervals'!$A$4:$A$33,0)),""))</f>
        <v/>
      </c>
      <c r="D836" s="17" t="n"/>
      <c r="E836" s="18" t="n"/>
      <c r="F836" s="19">
        <f>IF(OR($B836="",$E836=""),"",IFERROR(IF(AND(INDEX('Intervals'!$G$4:$G$33,MATCH($B836,'Intervals'!$A$4:$A$33,0))&lt;&gt;"No",N(INDEX('Intervals'!$C$4:$C$33,MATCH($B836,'Intervals'!$A$4:$A$33,0)))&gt;0),$E836+N(INDEX('Intervals'!$C$4:$C$33,MATCH($B836,'Intervals'!$A$4:$A$33,0))),""),""))</f>
        <v/>
      </c>
      <c r="G836" s="20">
        <f>IF(OR($B836="",$D836=""),"",IFERROR(IF(AND(INDEX('Intervals'!$G$4:$G$33,MATCH($B836,'Intervals'!$A$4:$A$33,0))&lt;&gt;"No",N(INDEX('Intervals'!$D$4:$D$33,MATCH($B836,'Intervals'!$A$4:$A$33,0)))&gt;0),EDATE($D836,N(INDEX('Intervals'!$D$4:$D$33,MATCH($B836,'Intervals'!$A$4:$A$33,0)))),""),""))</f>
        <v/>
      </c>
      <c r="H836" s="19">
        <f>IF($A836="","",IFERROR(IF(N(INDEX('Cars'!$H$4:$H$103,MATCH($A836,'Cars'!$A$4:$A$103,0)))&gt;0,INDEX('Cars'!$H$4:$H$103,MATCH($A836,'Cars'!$A$4:$A$103,0)),""),""))</f>
        <v/>
      </c>
      <c r="I836" s="19">
        <f>IF(OR($F836="",$H836=""),"",$F836-$H836)</f>
        <v/>
      </c>
      <c r="J836" s="21">
        <f>IF($G836="","",$G836-TODAY())</f>
        <v/>
      </c>
      <c r="K836" s="21">
        <f>IF($I836="","",IFERROR(IF(N(INDEX('Cars'!$J$4:$J$103,MATCH($A836,'Cars'!$A$4:$A$103,0)))&gt;0,ROUND($I836/INDEX('Cars'!$J$4:$J$103,MATCH($A836,'Cars'!$A$4:$A$103,0))*30,0),""),""))</f>
        <v/>
      </c>
      <c r="L836" s="21">
        <f>IF(AND($J836="",$K836=""),"",MIN(IF($J836="",99999,$J836),IF($K836="",99999,$K836)))</f>
        <v/>
      </c>
      <c r="M836" s="16">
        <f>IF(AND($I836="",$J836=""),"",IF(OR(AND($I836&lt;&gt;"",N($I836)&lt;0),AND($J836&lt;&gt;"",N($J836)&lt;0)),"Overdue",IF(OR(AND($I836&lt;&gt;"",N($I836)&lt;=IFERROR(INDEX('Intervals'!$E$4:$E$33,MATCH($B836,'Intervals'!$A$4:$A$33,0)),500)),AND($J836&lt;&gt;"",N($J836)&lt;=IFERROR(INDEX('Intervals'!$F$4:$F$33,MATCH($B836,'Intervals'!$A$4:$A$33,0)),14))),"Due soon","OK")))</f>
        <v/>
      </c>
      <c r="N836" s="15" t="n"/>
      <c r="O836" s="22">
        <f>IF(OR($M836="",$M836="OK"),"",$L836+ROW()/100000)</f>
        <v/>
      </c>
    </row>
    <row r="837">
      <c r="A837" s="15" t="n"/>
      <c r="B837" s="15" t="n"/>
      <c r="C837" s="16">
        <f>IF($B837="","",IFERROR(INDEX('Intervals'!$B$4:$B$33,MATCH($B837,'Intervals'!$A$4:$A$33,0)),""))</f>
        <v/>
      </c>
      <c r="D837" s="17" t="n"/>
      <c r="E837" s="18" t="n"/>
      <c r="F837" s="19">
        <f>IF(OR($B837="",$E837=""),"",IFERROR(IF(AND(INDEX('Intervals'!$G$4:$G$33,MATCH($B837,'Intervals'!$A$4:$A$33,0))&lt;&gt;"No",N(INDEX('Intervals'!$C$4:$C$33,MATCH($B837,'Intervals'!$A$4:$A$33,0)))&gt;0),$E837+N(INDEX('Intervals'!$C$4:$C$33,MATCH($B837,'Intervals'!$A$4:$A$33,0))),""),""))</f>
        <v/>
      </c>
      <c r="G837" s="20">
        <f>IF(OR($B837="",$D837=""),"",IFERROR(IF(AND(INDEX('Intervals'!$G$4:$G$33,MATCH($B837,'Intervals'!$A$4:$A$33,0))&lt;&gt;"No",N(INDEX('Intervals'!$D$4:$D$33,MATCH($B837,'Intervals'!$A$4:$A$33,0)))&gt;0),EDATE($D837,N(INDEX('Intervals'!$D$4:$D$33,MATCH($B837,'Intervals'!$A$4:$A$33,0)))),""),""))</f>
        <v/>
      </c>
      <c r="H837" s="19">
        <f>IF($A837="","",IFERROR(IF(N(INDEX('Cars'!$H$4:$H$103,MATCH($A837,'Cars'!$A$4:$A$103,0)))&gt;0,INDEX('Cars'!$H$4:$H$103,MATCH($A837,'Cars'!$A$4:$A$103,0)),""),""))</f>
        <v/>
      </c>
      <c r="I837" s="19">
        <f>IF(OR($F837="",$H837=""),"",$F837-$H837)</f>
        <v/>
      </c>
      <c r="J837" s="21">
        <f>IF($G837="","",$G837-TODAY())</f>
        <v/>
      </c>
      <c r="K837" s="21">
        <f>IF($I837="","",IFERROR(IF(N(INDEX('Cars'!$J$4:$J$103,MATCH($A837,'Cars'!$A$4:$A$103,0)))&gt;0,ROUND($I837/INDEX('Cars'!$J$4:$J$103,MATCH($A837,'Cars'!$A$4:$A$103,0))*30,0),""),""))</f>
        <v/>
      </c>
      <c r="L837" s="21">
        <f>IF(AND($J837="",$K837=""),"",MIN(IF($J837="",99999,$J837),IF($K837="",99999,$K837)))</f>
        <v/>
      </c>
      <c r="M837" s="16">
        <f>IF(AND($I837="",$J837=""),"",IF(OR(AND($I837&lt;&gt;"",N($I837)&lt;0),AND($J837&lt;&gt;"",N($J837)&lt;0)),"Overdue",IF(OR(AND($I837&lt;&gt;"",N($I837)&lt;=IFERROR(INDEX('Intervals'!$E$4:$E$33,MATCH($B837,'Intervals'!$A$4:$A$33,0)),500)),AND($J837&lt;&gt;"",N($J837)&lt;=IFERROR(INDEX('Intervals'!$F$4:$F$33,MATCH($B837,'Intervals'!$A$4:$A$33,0)),14))),"Due soon","OK")))</f>
        <v/>
      </c>
      <c r="N837" s="15" t="n"/>
      <c r="O837" s="22">
        <f>IF(OR($M837="",$M837="OK"),"",$L837+ROW()/100000)</f>
        <v/>
      </c>
    </row>
    <row r="838">
      <c r="A838" s="15" t="n"/>
      <c r="B838" s="15" t="n"/>
      <c r="C838" s="16">
        <f>IF($B838="","",IFERROR(INDEX('Intervals'!$B$4:$B$33,MATCH($B838,'Intervals'!$A$4:$A$33,0)),""))</f>
        <v/>
      </c>
      <c r="D838" s="17" t="n"/>
      <c r="E838" s="18" t="n"/>
      <c r="F838" s="19">
        <f>IF(OR($B838="",$E838=""),"",IFERROR(IF(AND(INDEX('Intervals'!$G$4:$G$33,MATCH($B838,'Intervals'!$A$4:$A$33,0))&lt;&gt;"No",N(INDEX('Intervals'!$C$4:$C$33,MATCH($B838,'Intervals'!$A$4:$A$33,0)))&gt;0),$E838+N(INDEX('Intervals'!$C$4:$C$33,MATCH($B838,'Intervals'!$A$4:$A$33,0))),""),""))</f>
        <v/>
      </c>
      <c r="G838" s="20">
        <f>IF(OR($B838="",$D838=""),"",IFERROR(IF(AND(INDEX('Intervals'!$G$4:$G$33,MATCH($B838,'Intervals'!$A$4:$A$33,0))&lt;&gt;"No",N(INDEX('Intervals'!$D$4:$D$33,MATCH($B838,'Intervals'!$A$4:$A$33,0)))&gt;0),EDATE($D838,N(INDEX('Intervals'!$D$4:$D$33,MATCH($B838,'Intervals'!$A$4:$A$33,0)))),""),""))</f>
        <v/>
      </c>
      <c r="H838" s="19">
        <f>IF($A838="","",IFERROR(IF(N(INDEX('Cars'!$H$4:$H$103,MATCH($A838,'Cars'!$A$4:$A$103,0)))&gt;0,INDEX('Cars'!$H$4:$H$103,MATCH($A838,'Cars'!$A$4:$A$103,0)),""),""))</f>
        <v/>
      </c>
      <c r="I838" s="19">
        <f>IF(OR($F838="",$H838=""),"",$F838-$H838)</f>
        <v/>
      </c>
      <c r="J838" s="21">
        <f>IF($G838="","",$G838-TODAY())</f>
        <v/>
      </c>
      <c r="K838" s="21">
        <f>IF($I838="","",IFERROR(IF(N(INDEX('Cars'!$J$4:$J$103,MATCH($A838,'Cars'!$A$4:$A$103,0)))&gt;0,ROUND($I838/INDEX('Cars'!$J$4:$J$103,MATCH($A838,'Cars'!$A$4:$A$103,0))*30,0),""),""))</f>
        <v/>
      </c>
      <c r="L838" s="21">
        <f>IF(AND($J838="",$K838=""),"",MIN(IF($J838="",99999,$J838),IF($K838="",99999,$K838)))</f>
        <v/>
      </c>
      <c r="M838" s="16">
        <f>IF(AND($I838="",$J838=""),"",IF(OR(AND($I838&lt;&gt;"",N($I838)&lt;0),AND($J838&lt;&gt;"",N($J838)&lt;0)),"Overdue",IF(OR(AND($I838&lt;&gt;"",N($I838)&lt;=IFERROR(INDEX('Intervals'!$E$4:$E$33,MATCH($B838,'Intervals'!$A$4:$A$33,0)),500)),AND($J838&lt;&gt;"",N($J838)&lt;=IFERROR(INDEX('Intervals'!$F$4:$F$33,MATCH($B838,'Intervals'!$A$4:$A$33,0)),14))),"Due soon","OK")))</f>
        <v/>
      </c>
      <c r="N838" s="15" t="n"/>
      <c r="O838" s="22">
        <f>IF(OR($M838="",$M838="OK"),"",$L838+ROW()/100000)</f>
        <v/>
      </c>
    </row>
    <row r="839">
      <c r="A839" s="15" t="n"/>
      <c r="B839" s="15" t="n"/>
      <c r="C839" s="16">
        <f>IF($B839="","",IFERROR(INDEX('Intervals'!$B$4:$B$33,MATCH($B839,'Intervals'!$A$4:$A$33,0)),""))</f>
        <v/>
      </c>
      <c r="D839" s="17" t="n"/>
      <c r="E839" s="18" t="n"/>
      <c r="F839" s="19">
        <f>IF(OR($B839="",$E839=""),"",IFERROR(IF(AND(INDEX('Intervals'!$G$4:$G$33,MATCH($B839,'Intervals'!$A$4:$A$33,0))&lt;&gt;"No",N(INDEX('Intervals'!$C$4:$C$33,MATCH($B839,'Intervals'!$A$4:$A$33,0)))&gt;0),$E839+N(INDEX('Intervals'!$C$4:$C$33,MATCH($B839,'Intervals'!$A$4:$A$33,0))),""),""))</f>
        <v/>
      </c>
      <c r="G839" s="20">
        <f>IF(OR($B839="",$D839=""),"",IFERROR(IF(AND(INDEX('Intervals'!$G$4:$G$33,MATCH($B839,'Intervals'!$A$4:$A$33,0))&lt;&gt;"No",N(INDEX('Intervals'!$D$4:$D$33,MATCH($B839,'Intervals'!$A$4:$A$33,0)))&gt;0),EDATE($D839,N(INDEX('Intervals'!$D$4:$D$33,MATCH($B839,'Intervals'!$A$4:$A$33,0)))),""),""))</f>
        <v/>
      </c>
      <c r="H839" s="19">
        <f>IF($A839="","",IFERROR(IF(N(INDEX('Cars'!$H$4:$H$103,MATCH($A839,'Cars'!$A$4:$A$103,0)))&gt;0,INDEX('Cars'!$H$4:$H$103,MATCH($A839,'Cars'!$A$4:$A$103,0)),""),""))</f>
        <v/>
      </c>
      <c r="I839" s="19">
        <f>IF(OR($F839="",$H839=""),"",$F839-$H839)</f>
        <v/>
      </c>
      <c r="J839" s="21">
        <f>IF($G839="","",$G839-TODAY())</f>
        <v/>
      </c>
      <c r="K839" s="21">
        <f>IF($I839="","",IFERROR(IF(N(INDEX('Cars'!$J$4:$J$103,MATCH($A839,'Cars'!$A$4:$A$103,0)))&gt;0,ROUND($I839/INDEX('Cars'!$J$4:$J$103,MATCH($A839,'Cars'!$A$4:$A$103,0))*30,0),""),""))</f>
        <v/>
      </c>
      <c r="L839" s="21">
        <f>IF(AND($J839="",$K839=""),"",MIN(IF($J839="",99999,$J839),IF($K839="",99999,$K839)))</f>
        <v/>
      </c>
      <c r="M839" s="16">
        <f>IF(AND($I839="",$J839=""),"",IF(OR(AND($I839&lt;&gt;"",N($I839)&lt;0),AND($J839&lt;&gt;"",N($J839)&lt;0)),"Overdue",IF(OR(AND($I839&lt;&gt;"",N($I839)&lt;=IFERROR(INDEX('Intervals'!$E$4:$E$33,MATCH($B839,'Intervals'!$A$4:$A$33,0)),500)),AND($J839&lt;&gt;"",N($J839)&lt;=IFERROR(INDEX('Intervals'!$F$4:$F$33,MATCH($B839,'Intervals'!$A$4:$A$33,0)),14))),"Due soon","OK")))</f>
        <v/>
      </c>
      <c r="N839" s="15" t="n"/>
      <c r="O839" s="22">
        <f>IF(OR($M839="",$M839="OK"),"",$L839+ROW()/100000)</f>
        <v/>
      </c>
    </row>
    <row r="840">
      <c r="A840" s="15" t="n"/>
      <c r="B840" s="15" t="n"/>
      <c r="C840" s="16">
        <f>IF($B840="","",IFERROR(INDEX('Intervals'!$B$4:$B$33,MATCH($B840,'Intervals'!$A$4:$A$33,0)),""))</f>
        <v/>
      </c>
      <c r="D840" s="17" t="n"/>
      <c r="E840" s="18" t="n"/>
      <c r="F840" s="19">
        <f>IF(OR($B840="",$E840=""),"",IFERROR(IF(AND(INDEX('Intervals'!$G$4:$G$33,MATCH($B840,'Intervals'!$A$4:$A$33,0))&lt;&gt;"No",N(INDEX('Intervals'!$C$4:$C$33,MATCH($B840,'Intervals'!$A$4:$A$33,0)))&gt;0),$E840+N(INDEX('Intervals'!$C$4:$C$33,MATCH($B840,'Intervals'!$A$4:$A$33,0))),""),""))</f>
        <v/>
      </c>
      <c r="G840" s="20">
        <f>IF(OR($B840="",$D840=""),"",IFERROR(IF(AND(INDEX('Intervals'!$G$4:$G$33,MATCH($B840,'Intervals'!$A$4:$A$33,0))&lt;&gt;"No",N(INDEX('Intervals'!$D$4:$D$33,MATCH($B840,'Intervals'!$A$4:$A$33,0)))&gt;0),EDATE($D840,N(INDEX('Intervals'!$D$4:$D$33,MATCH($B840,'Intervals'!$A$4:$A$33,0)))),""),""))</f>
        <v/>
      </c>
      <c r="H840" s="19">
        <f>IF($A840="","",IFERROR(IF(N(INDEX('Cars'!$H$4:$H$103,MATCH($A840,'Cars'!$A$4:$A$103,0)))&gt;0,INDEX('Cars'!$H$4:$H$103,MATCH($A840,'Cars'!$A$4:$A$103,0)),""),""))</f>
        <v/>
      </c>
      <c r="I840" s="19">
        <f>IF(OR($F840="",$H840=""),"",$F840-$H840)</f>
        <v/>
      </c>
      <c r="J840" s="21">
        <f>IF($G840="","",$G840-TODAY())</f>
        <v/>
      </c>
      <c r="K840" s="21">
        <f>IF($I840="","",IFERROR(IF(N(INDEX('Cars'!$J$4:$J$103,MATCH($A840,'Cars'!$A$4:$A$103,0)))&gt;0,ROUND($I840/INDEX('Cars'!$J$4:$J$103,MATCH($A840,'Cars'!$A$4:$A$103,0))*30,0),""),""))</f>
        <v/>
      </c>
      <c r="L840" s="21">
        <f>IF(AND($J840="",$K840=""),"",MIN(IF($J840="",99999,$J840),IF($K840="",99999,$K840)))</f>
        <v/>
      </c>
      <c r="M840" s="16">
        <f>IF(AND($I840="",$J840=""),"",IF(OR(AND($I840&lt;&gt;"",N($I840)&lt;0),AND($J840&lt;&gt;"",N($J840)&lt;0)),"Overdue",IF(OR(AND($I840&lt;&gt;"",N($I840)&lt;=IFERROR(INDEX('Intervals'!$E$4:$E$33,MATCH($B840,'Intervals'!$A$4:$A$33,0)),500)),AND($J840&lt;&gt;"",N($J840)&lt;=IFERROR(INDEX('Intervals'!$F$4:$F$33,MATCH($B840,'Intervals'!$A$4:$A$33,0)),14))),"Due soon","OK")))</f>
        <v/>
      </c>
      <c r="N840" s="15" t="n"/>
      <c r="O840" s="22">
        <f>IF(OR($M840="",$M840="OK"),"",$L840+ROW()/100000)</f>
        <v/>
      </c>
    </row>
    <row r="841">
      <c r="A841" s="15" t="n"/>
      <c r="B841" s="15" t="n"/>
      <c r="C841" s="16">
        <f>IF($B841="","",IFERROR(INDEX('Intervals'!$B$4:$B$33,MATCH($B841,'Intervals'!$A$4:$A$33,0)),""))</f>
        <v/>
      </c>
      <c r="D841" s="17" t="n"/>
      <c r="E841" s="18" t="n"/>
      <c r="F841" s="19">
        <f>IF(OR($B841="",$E841=""),"",IFERROR(IF(AND(INDEX('Intervals'!$G$4:$G$33,MATCH($B841,'Intervals'!$A$4:$A$33,0))&lt;&gt;"No",N(INDEX('Intervals'!$C$4:$C$33,MATCH($B841,'Intervals'!$A$4:$A$33,0)))&gt;0),$E841+N(INDEX('Intervals'!$C$4:$C$33,MATCH($B841,'Intervals'!$A$4:$A$33,0))),""),""))</f>
        <v/>
      </c>
      <c r="G841" s="20">
        <f>IF(OR($B841="",$D841=""),"",IFERROR(IF(AND(INDEX('Intervals'!$G$4:$G$33,MATCH($B841,'Intervals'!$A$4:$A$33,0))&lt;&gt;"No",N(INDEX('Intervals'!$D$4:$D$33,MATCH($B841,'Intervals'!$A$4:$A$33,0)))&gt;0),EDATE($D841,N(INDEX('Intervals'!$D$4:$D$33,MATCH($B841,'Intervals'!$A$4:$A$33,0)))),""),""))</f>
        <v/>
      </c>
      <c r="H841" s="19">
        <f>IF($A841="","",IFERROR(IF(N(INDEX('Cars'!$H$4:$H$103,MATCH($A841,'Cars'!$A$4:$A$103,0)))&gt;0,INDEX('Cars'!$H$4:$H$103,MATCH($A841,'Cars'!$A$4:$A$103,0)),""),""))</f>
        <v/>
      </c>
      <c r="I841" s="19">
        <f>IF(OR($F841="",$H841=""),"",$F841-$H841)</f>
        <v/>
      </c>
      <c r="J841" s="21">
        <f>IF($G841="","",$G841-TODAY())</f>
        <v/>
      </c>
      <c r="K841" s="21">
        <f>IF($I841="","",IFERROR(IF(N(INDEX('Cars'!$J$4:$J$103,MATCH($A841,'Cars'!$A$4:$A$103,0)))&gt;0,ROUND($I841/INDEX('Cars'!$J$4:$J$103,MATCH($A841,'Cars'!$A$4:$A$103,0))*30,0),""),""))</f>
        <v/>
      </c>
      <c r="L841" s="21">
        <f>IF(AND($J841="",$K841=""),"",MIN(IF($J841="",99999,$J841),IF($K841="",99999,$K841)))</f>
        <v/>
      </c>
      <c r="M841" s="16">
        <f>IF(AND($I841="",$J841=""),"",IF(OR(AND($I841&lt;&gt;"",N($I841)&lt;0),AND($J841&lt;&gt;"",N($J841)&lt;0)),"Overdue",IF(OR(AND($I841&lt;&gt;"",N($I841)&lt;=IFERROR(INDEX('Intervals'!$E$4:$E$33,MATCH($B841,'Intervals'!$A$4:$A$33,0)),500)),AND($J841&lt;&gt;"",N($J841)&lt;=IFERROR(INDEX('Intervals'!$F$4:$F$33,MATCH($B841,'Intervals'!$A$4:$A$33,0)),14))),"Due soon","OK")))</f>
        <v/>
      </c>
      <c r="N841" s="15" t="n"/>
      <c r="O841" s="22">
        <f>IF(OR($M841="",$M841="OK"),"",$L841+ROW()/100000)</f>
        <v/>
      </c>
    </row>
    <row r="842">
      <c r="A842" s="15" t="n"/>
      <c r="B842" s="15" t="n"/>
      <c r="C842" s="16">
        <f>IF($B842="","",IFERROR(INDEX('Intervals'!$B$4:$B$33,MATCH($B842,'Intervals'!$A$4:$A$33,0)),""))</f>
        <v/>
      </c>
      <c r="D842" s="17" t="n"/>
      <c r="E842" s="18" t="n"/>
      <c r="F842" s="19">
        <f>IF(OR($B842="",$E842=""),"",IFERROR(IF(AND(INDEX('Intervals'!$G$4:$G$33,MATCH($B842,'Intervals'!$A$4:$A$33,0))&lt;&gt;"No",N(INDEX('Intervals'!$C$4:$C$33,MATCH($B842,'Intervals'!$A$4:$A$33,0)))&gt;0),$E842+N(INDEX('Intervals'!$C$4:$C$33,MATCH($B842,'Intervals'!$A$4:$A$33,0))),""),""))</f>
        <v/>
      </c>
      <c r="G842" s="20">
        <f>IF(OR($B842="",$D842=""),"",IFERROR(IF(AND(INDEX('Intervals'!$G$4:$G$33,MATCH($B842,'Intervals'!$A$4:$A$33,0))&lt;&gt;"No",N(INDEX('Intervals'!$D$4:$D$33,MATCH($B842,'Intervals'!$A$4:$A$33,0)))&gt;0),EDATE($D842,N(INDEX('Intervals'!$D$4:$D$33,MATCH($B842,'Intervals'!$A$4:$A$33,0)))),""),""))</f>
        <v/>
      </c>
      <c r="H842" s="19">
        <f>IF($A842="","",IFERROR(IF(N(INDEX('Cars'!$H$4:$H$103,MATCH($A842,'Cars'!$A$4:$A$103,0)))&gt;0,INDEX('Cars'!$H$4:$H$103,MATCH($A842,'Cars'!$A$4:$A$103,0)),""),""))</f>
        <v/>
      </c>
      <c r="I842" s="19">
        <f>IF(OR($F842="",$H842=""),"",$F842-$H842)</f>
        <v/>
      </c>
      <c r="J842" s="21">
        <f>IF($G842="","",$G842-TODAY())</f>
        <v/>
      </c>
      <c r="K842" s="21">
        <f>IF($I842="","",IFERROR(IF(N(INDEX('Cars'!$J$4:$J$103,MATCH($A842,'Cars'!$A$4:$A$103,0)))&gt;0,ROUND($I842/INDEX('Cars'!$J$4:$J$103,MATCH($A842,'Cars'!$A$4:$A$103,0))*30,0),""),""))</f>
        <v/>
      </c>
      <c r="L842" s="21">
        <f>IF(AND($J842="",$K842=""),"",MIN(IF($J842="",99999,$J842),IF($K842="",99999,$K842)))</f>
        <v/>
      </c>
      <c r="M842" s="16">
        <f>IF(AND($I842="",$J842=""),"",IF(OR(AND($I842&lt;&gt;"",N($I842)&lt;0),AND($J842&lt;&gt;"",N($J842)&lt;0)),"Overdue",IF(OR(AND($I842&lt;&gt;"",N($I842)&lt;=IFERROR(INDEX('Intervals'!$E$4:$E$33,MATCH($B842,'Intervals'!$A$4:$A$33,0)),500)),AND($J842&lt;&gt;"",N($J842)&lt;=IFERROR(INDEX('Intervals'!$F$4:$F$33,MATCH($B842,'Intervals'!$A$4:$A$33,0)),14))),"Due soon","OK")))</f>
        <v/>
      </c>
      <c r="N842" s="15" t="n"/>
      <c r="O842" s="22">
        <f>IF(OR($M842="",$M842="OK"),"",$L842+ROW()/100000)</f>
        <v/>
      </c>
    </row>
    <row r="843">
      <c r="A843" s="15" t="n"/>
      <c r="B843" s="15" t="n"/>
      <c r="C843" s="16">
        <f>IF($B843="","",IFERROR(INDEX('Intervals'!$B$4:$B$33,MATCH($B843,'Intervals'!$A$4:$A$33,0)),""))</f>
        <v/>
      </c>
      <c r="D843" s="17" t="n"/>
      <c r="E843" s="18" t="n"/>
      <c r="F843" s="19">
        <f>IF(OR($B843="",$E843=""),"",IFERROR(IF(AND(INDEX('Intervals'!$G$4:$G$33,MATCH($B843,'Intervals'!$A$4:$A$33,0))&lt;&gt;"No",N(INDEX('Intervals'!$C$4:$C$33,MATCH($B843,'Intervals'!$A$4:$A$33,0)))&gt;0),$E843+N(INDEX('Intervals'!$C$4:$C$33,MATCH($B843,'Intervals'!$A$4:$A$33,0))),""),""))</f>
        <v/>
      </c>
      <c r="G843" s="20">
        <f>IF(OR($B843="",$D843=""),"",IFERROR(IF(AND(INDEX('Intervals'!$G$4:$G$33,MATCH($B843,'Intervals'!$A$4:$A$33,0))&lt;&gt;"No",N(INDEX('Intervals'!$D$4:$D$33,MATCH($B843,'Intervals'!$A$4:$A$33,0)))&gt;0),EDATE($D843,N(INDEX('Intervals'!$D$4:$D$33,MATCH($B843,'Intervals'!$A$4:$A$33,0)))),""),""))</f>
        <v/>
      </c>
      <c r="H843" s="19">
        <f>IF($A843="","",IFERROR(IF(N(INDEX('Cars'!$H$4:$H$103,MATCH($A843,'Cars'!$A$4:$A$103,0)))&gt;0,INDEX('Cars'!$H$4:$H$103,MATCH($A843,'Cars'!$A$4:$A$103,0)),""),""))</f>
        <v/>
      </c>
      <c r="I843" s="19">
        <f>IF(OR($F843="",$H843=""),"",$F843-$H843)</f>
        <v/>
      </c>
      <c r="J843" s="21">
        <f>IF($G843="","",$G843-TODAY())</f>
        <v/>
      </c>
      <c r="K843" s="21">
        <f>IF($I843="","",IFERROR(IF(N(INDEX('Cars'!$J$4:$J$103,MATCH($A843,'Cars'!$A$4:$A$103,0)))&gt;0,ROUND($I843/INDEX('Cars'!$J$4:$J$103,MATCH($A843,'Cars'!$A$4:$A$103,0))*30,0),""),""))</f>
        <v/>
      </c>
      <c r="L843" s="21">
        <f>IF(AND($J843="",$K843=""),"",MIN(IF($J843="",99999,$J843),IF($K843="",99999,$K843)))</f>
        <v/>
      </c>
      <c r="M843" s="16">
        <f>IF(AND($I843="",$J843=""),"",IF(OR(AND($I843&lt;&gt;"",N($I843)&lt;0),AND($J843&lt;&gt;"",N($J843)&lt;0)),"Overdue",IF(OR(AND($I843&lt;&gt;"",N($I843)&lt;=IFERROR(INDEX('Intervals'!$E$4:$E$33,MATCH($B843,'Intervals'!$A$4:$A$33,0)),500)),AND($J843&lt;&gt;"",N($J843)&lt;=IFERROR(INDEX('Intervals'!$F$4:$F$33,MATCH($B843,'Intervals'!$A$4:$A$33,0)),14))),"Due soon","OK")))</f>
        <v/>
      </c>
      <c r="N843" s="15" t="n"/>
      <c r="O843" s="22">
        <f>IF(OR($M843="",$M843="OK"),"",$L843+ROW()/100000)</f>
        <v/>
      </c>
    </row>
    <row r="844">
      <c r="A844" s="15" t="n"/>
      <c r="B844" s="15" t="n"/>
      <c r="C844" s="16">
        <f>IF($B844="","",IFERROR(INDEX('Intervals'!$B$4:$B$33,MATCH($B844,'Intervals'!$A$4:$A$33,0)),""))</f>
        <v/>
      </c>
      <c r="D844" s="17" t="n"/>
      <c r="E844" s="18" t="n"/>
      <c r="F844" s="19">
        <f>IF(OR($B844="",$E844=""),"",IFERROR(IF(AND(INDEX('Intervals'!$G$4:$G$33,MATCH($B844,'Intervals'!$A$4:$A$33,0))&lt;&gt;"No",N(INDEX('Intervals'!$C$4:$C$33,MATCH($B844,'Intervals'!$A$4:$A$33,0)))&gt;0),$E844+N(INDEX('Intervals'!$C$4:$C$33,MATCH($B844,'Intervals'!$A$4:$A$33,0))),""),""))</f>
        <v/>
      </c>
      <c r="G844" s="20">
        <f>IF(OR($B844="",$D844=""),"",IFERROR(IF(AND(INDEX('Intervals'!$G$4:$G$33,MATCH($B844,'Intervals'!$A$4:$A$33,0))&lt;&gt;"No",N(INDEX('Intervals'!$D$4:$D$33,MATCH($B844,'Intervals'!$A$4:$A$33,0)))&gt;0),EDATE($D844,N(INDEX('Intervals'!$D$4:$D$33,MATCH($B844,'Intervals'!$A$4:$A$33,0)))),""),""))</f>
        <v/>
      </c>
      <c r="H844" s="19">
        <f>IF($A844="","",IFERROR(IF(N(INDEX('Cars'!$H$4:$H$103,MATCH($A844,'Cars'!$A$4:$A$103,0)))&gt;0,INDEX('Cars'!$H$4:$H$103,MATCH($A844,'Cars'!$A$4:$A$103,0)),""),""))</f>
        <v/>
      </c>
      <c r="I844" s="19">
        <f>IF(OR($F844="",$H844=""),"",$F844-$H844)</f>
        <v/>
      </c>
      <c r="J844" s="21">
        <f>IF($G844="","",$G844-TODAY())</f>
        <v/>
      </c>
      <c r="K844" s="21">
        <f>IF($I844="","",IFERROR(IF(N(INDEX('Cars'!$J$4:$J$103,MATCH($A844,'Cars'!$A$4:$A$103,0)))&gt;0,ROUND($I844/INDEX('Cars'!$J$4:$J$103,MATCH($A844,'Cars'!$A$4:$A$103,0))*30,0),""),""))</f>
        <v/>
      </c>
      <c r="L844" s="21">
        <f>IF(AND($J844="",$K844=""),"",MIN(IF($J844="",99999,$J844),IF($K844="",99999,$K844)))</f>
        <v/>
      </c>
      <c r="M844" s="16">
        <f>IF(AND($I844="",$J844=""),"",IF(OR(AND($I844&lt;&gt;"",N($I844)&lt;0),AND($J844&lt;&gt;"",N($J844)&lt;0)),"Overdue",IF(OR(AND($I844&lt;&gt;"",N($I844)&lt;=IFERROR(INDEX('Intervals'!$E$4:$E$33,MATCH($B844,'Intervals'!$A$4:$A$33,0)),500)),AND($J844&lt;&gt;"",N($J844)&lt;=IFERROR(INDEX('Intervals'!$F$4:$F$33,MATCH($B844,'Intervals'!$A$4:$A$33,0)),14))),"Due soon","OK")))</f>
        <v/>
      </c>
      <c r="N844" s="15" t="n"/>
      <c r="O844" s="22">
        <f>IF(OR($M844="",$M844="OK"),"",$L844+ROW()/100000)</f>
        <v/>
      </c>
    </row>
    <row r="845">
      <c r="A845" s="15" t="n"/>
      <c r="B845" s="15" t="n"/>
      <c r="C845" s="16">
        <f>IF($B845="","",IFERROR(INDEX('Intervals'!$B$4:$B$33,MATCH($B845,'Intervals'!$A$4:$A$33,0)),""))</f>
        <v/>
      </c>
      <c r="D845" s="17" t="n"/>
      <c r="E845" s="18" t="n"/>
      <c r="F845" s="19">
        <f>IF(OR($B845="",$E845=""),"",IFERROR(IF(AND(INDEX('Intervals'!$G$4:$G$33,MATCH($B845,'Intervals'!$A$4:$A$33,0))&lt;&gt;"No",N(INDEX('Intervals'!$C$4:$C$33,MATCH($B845,'Intervals'!$A$4:$A$33,0)))&gt;0),$E845+N(INDEX('Intervals'!$C$4:$C$33,MATCH($B845,'Intervals'!$A$4:$A$33,0))),""),""))</f>
        <v/>
      </c>
      <c r="G845" s="20">
        <f>IF(OR($B845="",$D845=""),"",IFERROR(IF(AND(INDEX('Intervals'!$G$4:$G$33,MATCH($B845,'Intervals'!$A$4:$A$33,0))&lt;&gt;"No",N(INDEX('Intervals'!$D$4:$D$33,MATCH($B845,'Intervals'!$A$4:$A$33,0)))&gt;0),EDATE($D845,N(INDEX('Intervals'!$D$4:$D$33,MATCH($B845,'Intervals'!$A$4:$A$33,0)))),""),""))</f>
        <v/>
      </c>
      <c r="H845" s="19">
        <f>IF($A845="","",IFERROR(IF(N(INDEX('Cars'!$H$4:$H$103,MATCH($A845,'Cars'!$A$4:$A$103,0)))&gt;0,INDEX('Cars'!$H$4:$H$103,MATCH($A845,'Cars'!$A$4:$A$103,0)),""),""))</f>
        <v/>
      </c>
      <c r="I845" s="19">
        <f>IF(OR($F845="",$H845=""),"",$F845-$H845)</f>
        <v/>
      </c>
      <c r="J845" s="21">
        <f>IF($G845="","",$G845-TODAY())</f>
        <v/>
      </c>
      <c r="K845" s="21">
        <f>IF($I845="","",IFERROR(IF(N(INDEX('Cars'!$J$4:$J$103,MATCH($A845,'Cars'!$A$4:$A$103,0)))&gt;0,ROUND($I845/INDEX('Cars'!$J$4:$J$103,MATCH($A845,'Cars'!$A$4:$A$103,0))*30,0),""),""))</f>
        <v/>
      </c>
      <c r="L845" s="21">
        <f>IF(AND($J845="",$K845=""),"",MIN(IF($J845="",99999,$J845),IF($K845="",99999,$K845)))</f>
        <v/>
      </c>
      <c r="M845" s="16">
        <f>IF(AND($I845="",$J845=""),"",IF(OR(AND($I845&lt;&gt;"",N($I845)&lt;0),AND($J845&lt;&gt;"",N($J845)&lt;0)),"Overdue",IF(OR(AND($I845&lt;&gt;"",N($I845)&lt;=IFERROR(INDEX('Intervals'!$E$4:$E$33,MATCH($B845,'Intervals'!$A$4:$A$33,0)),500)),AND($J845&lt;&gt;"",N($J845)&lt;=IFERROR(INDEX('Intervals'!$F$4:$F$33,MATCH($B845,'Intervals'!$A$4:$A$33,0)),14))),"Due soon","OK")))</f>
        <v/>
      </c>
      <c r="N845" s="15" t="n"/>
      <c r="O845" s="22">
        <f>IF(OR($M845="",$M845="OK"),"",$L845+ROW()/100000)</f>
        <v/>
      </c>
    </row>
    <row r="846">
      <c r="A846" s="15" t="n"/>
      <c r="B846" s="15" t="n"/>
      <c r="C846" s="16">
        <f>IF($B846="","",IFERROR(INDEX('Intervals'!$B$4:$B$33,MATCH($B846,'Intervals'!$A$4:$A$33,0)),""))</f>
        <v/>
      </c>
      <c r="D846" s="17" t="n"/>
      <c r="E846" s="18" t="n"/>
      <c r="F846" s="19">
        <f>IF(OR($B846="",$E846=""),"",IFERROR(IF(AND(INDEX('Intervals'!$G$4:$G$33,MATCH($B846,'Intervals'!$A$4:$A$33,0))&lt;&gt;"No",N(INDEX('Intervals'!$C$4:$C$33,MATCH($B846,'Intervals'!$A$4:$A$33,0)))&gt;0),$E846+N(INDEX('Intervals'!$C$4:$C$33,MATCH($B846,'Intervals'!$A$4:$A$33,0))),""),""))</f>
        <v/>
      </c>
      <c r="G846" s="20">
        <f>IF(OR($B846="",$D846=""),"",IFERROR(IF(AND(INDEX('Intervals'!$G$4:$G$33,MATCH($B846,'Intervals'!$A$4:$A$33,0))&lt;&gt;"No",N(INDEX('Intervals'!$D$4:$D$33,MATCH($B846,'Intervals'!$A$4:$A$33,0)))&gt;0),EDATE($D846,N(INDEX('Intervals'!$D$4:$D$33,MATCH($B846,'Intervals'!$A$4:$A$33,0)))),""),""))</f>
        <v/>
      </c>
      <c r="H846" s="19">
        <f>IF($A846="","",IFERROR(IF(N(INDEX('Cars'!$H$4:$H$103,MATCH($A846,'Cars'!$A$4:$A$103,0)))&gt;0,INDEX('Cars'!$H$4:$H$103,MATCH($A846,'Cars'!$A$4:$A$103,0)),""),""))</f>
        <v/>
      </c>
      <c r="I846" s="19">
        <f>IF(OR($F846="",$H846=""),"",$F846-$H846)</f>
        <v/>
      </c>
      <c r="J846" s="21">
        <f>IF($G846="","",$G846-TODAY())</f>
        <v/>
      </c>
      <c r="K846" s="21">
        <f>IF($I846="","",IFERROR(IF(N(INDEX('Cars'!$J$4:$J$103,MATCH($A846,'Cars'!$A$4:$A$103,0)))&gt;0,ROUND($I846/INDEX('Cars'!$J$4:$J$103,MATCH($A846,'Cars'!$A$4:$A$103,0))*30,0),""),""))</f>
        <v/>
      </c>
      <c r="L846" s="21">
        <f>IF(AND($J846="",$K846=""),"",MIN(IF($J846="",99999,$J846),IF($K846="",99999,$K846)))</f>
        <v/>
      </c>
      <c r="M846" s="16">
        <f>IF(AND($I846="",$J846=""),"",IF(OR(AND($I846&lt;&gt;"",N($I846)&lt;0),AND($J846&lt;&gt;"",N($J846)&lt;0)),"Overdue",IF(OR(AND($I846&lt;&gt;"",N($I846)&lt;=IFERROR(INDEX('Intervals'!$E$4:$E$33,MATCH($B846,'Intervals'!$A$4:$A$33,0)),500)),AND($J846&lt;&gt;"",N($J846)&lt;=IFERROR(INDEX('Intervals'!$F$4:$F$33,MATCH($B846,'Intervals'!$A$4:$A$33,0)),14))),"Due soon","OK")))</f>
        <v/>
      </c>
      <c r="N846" s="15" t="n"/>
      <c r="O846" s="22">
        <f>IF(OR($M846="",$M846="OK"),"",$L846+ROW()/100000)</f>
        <v/>
      </c>
    </row>
    <row r="847">
      <c r="A847" s="15" t="n"/>
      <c r="B847" s="15" t="n"/>
      <c r="C847" s="16">
        <f>IF($B847="","",IFERROR(INDEX('Intervals'!$B$4:$B$33,MATCH($B847,'Intervals'!$A$4:$A$33,0)),""))</f>
        <v/>
      </c>
      <c r="D847" s="17" t="n"/>
      <c r="E847" s="18" t="n"/>
      <c r="F847" s="19">
        <f>IF(OR($B847="",$E847=""),"",IFERROR(IF(AND(INDEX('Intervals'!$G$4:$G$33,MATCH($B847,'Intervals'!$A$4:$A$33,0))&lt;&gt;"No",N(INDEX('Intervals'!$C$4:$C$33,MATCH($B847,'Intervals'!$A$4:$A$33,0)))&gt;0),$E847+N(INDEX('Intervals'!$C$4:$C$33,MATCH($B847,'Intervals'!$A$4:$A$33,0))),""),""))</f>
        <v/>
      </c>
      <c r="G847" s="20">
        <f>IF(OR($B847="",$D847=""),"",IFERROR(IF(AND(INDEX('Intervals'!$G$4:$G$33,MATCH($B847,'Intervals'!$A$4:$A$33,0))&lt;&gt;"No",N(INDEX('Intervals'!$D$4:$D$33,MATCH($B847,'Intervals'!$A$4:$A$33,0)))&gt;0),EDATE($D847,N(INDEX('Intervals'!$D$4:$D$33,MATCH($B847,'Intervals'!$A$4:$A$33,0)))),""),""))</f>
        <v/>
      </c>
      <c r="H847" s="19">
        <f>IF($A847="","",IFERROR(IF(N(INDEX('Cars'!$H$4:$H$103,MATCH($A847,'Cars'!$A$4:$A$103,0)))&gt;0,INDEX('Cars'!$H$4:$H$103,MATCH($A847,'Cars'!$A$4:$A$103,0)),""),""))</f>
        <v/>
      </c>
      <c r="I847" s="19">
        <f>IF(OR($F847="",$H847=""),"",$F847-$H847)</f>
        <v/>
      </c>
      <c r="J847" s="21">
        <f>IF($G847="","",$G847-TODAY())</f>
        <v/>
      </c>
      <c r="K847" s="21">
        <f>IF($I847="","",IFERROR(IF(N(INDEX('Cars'!$J$4:$J$103,MATCH($A847,'Cars'!$A$4:$A$103,0)))&gt;0,ROUND($I847/INDEX('Cars'!$J$4:$J$103,MATCH($A847,'Cars'!$A$4:$A$103,0))*30,0),""),""))</f>
        <v/>
      </c>
      <c r="L847" s="21">
        <f>IF(AND($J847="",$K847=""),"",MIN(IF($J847="",99999,$J847),IF($K847="",99999,$K847)))</f>
        <v/>
      </c>
      <c r="M847" s="16">
        <f>IF(AND($I847="",$J847=""),"",IF(OR(AND($I847&lt;&gt;"",N($I847)&lt;0),AND($J847&lt;&gt;"",N($J847)&lt;0)),"Overdue",IF(OR(AND($I847&lt;&gt;"",N($I847)&lt;=IFERROR(INDEX('Intervals'!$E$4:$E$33,MATCH($B847,'Intervals'!$A$4:$A$33,0)),500)),AND($J847&lt;&gt;"",N($J847)&lt;=IFERROR(INDEX('Intervals'!$F$4:$F$33,MATCH($B847,'Intervals'!$A$4:$A$33,0)),14))),"Due soon","OK")))</f>
        <v/>
      </c>
      <c r="N847" s="15" t="n"/>
      <c r="O847" s="22">
        <f>IF(OR($M847="",$M847="OK"),"",$L847+ROW()/100000)</f>
        <v/>
      </c>
    </row>
    <row r="848">
      <c r="A848" s="15" t="n"/>
      <c r="B848" s="15" t="n"/>
      <c r="C848" s="16">
        <f>IF($B848="","",IFERROR(INDEX('Intervals'!$B$4:$B$33,MATCH($B848,'Intervals'!$A$4:$A$33,0)),""))</f>
        <v/>
      </c>
      <c r="D848" s="17" t="n"/>
      <c r="E848" s="18" t="n"/>
      <c r="F848" s="19">
        <f>IF(OR($B848="",$E848=""),"",IFERROR(IF(AND(INDEX('Intervals'!$G$4:$G$33,MATCH($B848,'Intervals'!$A$4:$A$33,0))&lt;&gt;"No",N(INDEX('Intervals'!$C$4:$C$33,MATCH($B848,'Intervals'!$A$4:$A$33,0)))&gt;0),$E848+N(INDEX('Intervals'!$C$4:$C$33,MATCH($B848,'Intervals'!$A$4:$A$33,0))),""),""))</f>
        <v/>
      </c>
      <c r="G848" s="20">
        <f>IF(OR($B848="",$D848=""),"",IFERROR(IF(AND(INDEX('Intervals'!$G$4:$G$33,MATCH($B848,'Intervals'!$A$4:$A$33,0))&lt;&gt;"No",N(INDEX('Intervals'!$D$4:$D$33,MATCH($B848,'Intervals'!$A$4:$A$33,0)))&gt;0),EDATE($D848,N(INDEX('Intervals'!$D$4:$D$33,MATCH($B848,'Intervals'!$A$4:$A$33,0)))),""),""))</f>
        <v/>
      </c>
      <c r="H848" s="19">
        <f>IF($A848="","",IFERROR(IF(N(INDEX('Cars'!$H$4:$H$103,MATCH($A848,'Cars'!$A$4:$A$103,0)))&gt;0,INDEX('Cars'!$H$4:$H$103,MATCH($A848,'Cars'!$A$4:$A$103,0)),""),""))</f>
        <v/>
      </c>
      <c r="I848" s="19">
        <f>IF(OR($F848="",$H848=""),"",$F848-$H848)</f>
        <v/>
      </c>
      <c r="J848" s="21">
        <f>IF($G848="","",$G848-TODAY())</f>
        <v/>
      </c>
      <c r="K848" s="21">
        <f>IF($I848="","",IFERROR(IF(N(INDEX('Cars'!$J$4:$J$103,MATCH($A848,'Cars'!$A$4:$A$103,0)))&gt;0,ROUND($I848/INDEX('Cars'!$J$4:$J$103,MATCH($A848,'Cars'!$A$4:$A$103,0))*30,0),""),""))</f>
        <v/>
      </c>
      <c r="L848" s="21">
        <f>IF(AND($J848="",$K848=""),"",MIN(IF($J848="",99999,$J848),IF($K848="",99999,$K848)))</f>
        <v/>
      </c>
      <c r="M848" s="16">
        <f>IF(AND($I848="",$J848=""),"",IF(OR(AND($I848&lt;&gt;"",N($I848)&lt;0),AND($J848&lt;&gt;"",N($J848)&lt;0)),"Overdue",IF(OR(AND($I848&lt;&gt;"",N($I848)&lt;=IFERROR(INDEX('Intervals'!$E$4:$E$33,MATCH($B848,'Intervals'!$A$4:$A$33,0)),500)),AND($J848&lt;&gt;"",N($J848)&lt;=IFERROR(INDEX('Intervals'!$F$4:$F$33,MATCH($B848,'Intervals'!$A$4:$A$33,0)),14))),"Due soon","OK")))</f>
        <v/>
      </c>
      <c r="N848" s="15" t="n"/>
      <c r="O848" s="22">
        <f>IF(OR($M848="",$M848="OK"),"",$L848+ROW()/100000)</f>
        <v/>
      </c>
    </row>
    <row r="849">
      <c r="A849" s="15" t="n"/>
      <c r="B849" s="15" t="n"/>
      <c r="C849" s="16">
        <f>IF($B849="","",IFERROR(INDEX('Intervals'!$B$4:$B$33,MATCH($B849,'Intervals'!$A$4:$A$33,0)),""))</f>
        <v/>
      </c>
      <c r="D849" s="17" t="n"/>
      <c r="E849" s="18" t="n"/>
      <c r="F849" s="19">
        <f>IF(OR($B849="",$E849=""),"",IFERROR(IF(AND(INDEX('Intervals'!$G$4:$G$33,MATCH($B849,'Intervals'!$A$4:$A$33,0))&lt;&gt;"No",N(INDEX('Intervals'!$C$4:$C$33,MATCH($B849,'Intervals'!$A$4:$A$33,0)))&gt;0),$E849+N(INDEX('Intervals'!$C$4:$C$33,MATCH($B849,'Intervals'!$A$4:$A$33,0))),""),""))</f>
        <v/>
      </c>
      <c r="G849" s="20">
        <f>IF(OR($B849="",$D849=""),"",IFERROR(IF(AND(INDEX('Intervals'!$G$4:$G$33,MATCH($B849,'Intervals'!$A$4:$A$33,0))&lt;&gt;"No",N(INDEX('Intervals'!$D$4:$D$33,MATCH($B849,'Intervals'!$A$4:$A$33,0)))&gt;0),EDATE($D849,N(INDEX('Intervals'!$D$4:$D$33,MATCH($B849,'Intervals'!$A$4:$A$33,0)))),""),""))</f>
        <v/>
      </c>
      <c r="H849" s="19">
        <f>IF($A849="","",IFERROR(IF(N(INDEX('Cars'!$H$4:$H$103,MATCH($A849,'Cars'!$A$4:$A$103,0)))&gt;0,INDEX('Cars'!$H$4:$H$103,MATCH($A849,'Cars'!$A$4:$A$103,0)),""),""))</f>
        <v/>
      </c>
      <c r="I849" s="19">
        <f>IF(OR($F849="",$H849=""),"",$F849-$H849)</f>
        <v/>
      </c>
      <c r="J849" s="21">
        <f>IF($G849="","",$G849-TODAY())</f>
        <v/>
      </c>
      <c r="K849" s="21">
        <f>IF($I849="","",IFERROR(IF(N(INDEX('Cars'!$J$4:$J$103,MATCH($A849,'Cars'!$A$4:$A$103,0)))&gt;0,ROUND($I849/INDEX('Cars'!$J$4:$J$103,MATCH($A849,'Cars'!$A$4:$A$103,0))*30,0),""),""))</f>
        <v/>
      </c>
      <c r="L849" s="21">
        <f>IF(AND($J849="",$K849=""),"",MIN(IF($J849="",99999,$J849),IF($K849="",99999,$K849)))</f>
        <v/>
      </c>
      <c r="M849" s="16">
        <f>IF(AND($I849="",$J849=""),"",IF(OR(AND($I849&lt;&gt;"",N($I849)&lt;0),AND($J849&lt;&gt;"",N($J849)&lt;0)),"Overdue",IF(OR(AND($I849&lt;&gt;"",N($I849)&lt;=IFERROR(INDEX('Intervals'!$E$4:$E$33,MATCH($B849,'Intervals'!$A$4:$A$33,0)),500)),AND($J849&lt;&gt;"",N($J849)&lt;=IFERROR(INDEX('Intervals'!$F$4:$F$33,MATCH($B849,'Intervals'!$A$4:$A$33,0)),14))),"Due soon","OK")))</f>
        <v/>
      </c>
      <c r="N849" s="15" t="n"/>
      <c r="O849" s="22">
        <f>IF(OR($M849="",$M849="OK"),"",$L849+ROW()/100000)</f>
        <v/>
      </c>
    </row>
    <row r="850">
      <c r="A850" s="15" t="n"/>
      <c r="B850" s="15" t="n"/>
      <c r="C850" s="16">
        <f>IF($B850="","",IFERROR(INDEX('Intervals'!$B$4:$B$33,MATCH($B850,'Intervals'!$A$4:$A$33,0)),""))</f>
        <v/>
      </c>
      <c r="D850" s="17" t="n"/>
      <c r="E850" s="18" t="n"/>
      <c r="F850" s="19">
        <f>IF(OR($B850="",$E850=""),"",IFERROR(IF(AND(INDEX('Intervals'!$G$4:$G$33,MATCH($B850,'Intervals'!$A$4:$A$33,0))&lt;&gt;"No",N(INDEX('Intervals'!$C$4:$C$33,MATCH($B850,'Intervals'!$A$4:$A$33,0)))&gt;0),$E850+N(INDEX('Intervals'!$C$4:$C$33,MATCH($B850,'Intervals'!$A$4:$A$33,0))),""),""))</f>
        <v/>
      </c>
      <c r="G850" s="20">
        <f>IF(OR($B850="",$D850=""),"",IFERROR(IF(AND(INDEX('Intervals'!$G$4:$G$33,MATCH($B850,'Intervals'!$A$4:$A$33,0))&lt;&gt;"No",N(INDEX('Intervals'!$D$4:$D$33,MATCH($B850,'Intervals'!$A$4:$A$33,0)))&gt;0),EDATE($D850,N(INDEX('Intervals'!$D$4:$D$33,MATCH($B850,'Intervals'!$A$4:$A$33,0)))),""),""))</f>
        <v/>
      </c>
      <c r="H850" s="19">
        <f>IF($A850="","",IFERROR(IF(N(INDEX('Cars'!$H$4:$H$103,MATCH($A850,'Cars'!$A$4:$A$103,0)))&gt;0,INDEX('Cars'!$H$4:$H$103,MATCH($A850,'Cars'!$A$4:$A$103,0)),""),""))</f>
        <v/>
      </c>
      <c r="I850" s="19">
        <f>IF(OR($F850="",$H850=""),"",$F850-$H850)</f>
        <v/>
      </c>
      <c r="J850" s="21">
        <f>IF($G850="","",$G850-TODAY())</f>
        <v/>
      </c>
      <c r="K850" s="21">
        <f>IF($I850="","",IFERROR(IF(N(INDEX('Cars'!$J$4:$J$103,MATCH($A850,'Cars'!$A$4:$A$103,0)))&gt;0,ROUND($I850/INDEX('Cars'!$J$4:$J$103,MATCH($A850,'Cars'!$A$4:$A$103,0))*30,0),""),""))</f>
        <v/>
      </c>
      <c r="L850" s="21">
        <f>IF(AND($J850="",$K850=""),"",MIN(IF($J850="",99999,$J850),IF($K850="",99999,$K850)))</f>
        <v/>
      </c>
      <c r="M850" s="16">
        <f>IF(AND($I850="",$J850=""),"",IF(OR(AND($I850&lt;&gt;"",N($I850)&lt;0),AND($J850&lt;&gt;"",N($J850)&lt;0)),"Overdue",IF(OR(AND($I850&lt;&gt;"",N($I850)&lt;=IFERROR(INDEX('Intervals'!$E$4:$E$33,MATCH($B850,'Intervals'!$A$4:$A$33,0)),500)),AND($J850&lt;&gt;"",N($J850)&lt;=IFERROR(INDEX('Intervals'!$F$4:$F$33,MATCH($B850,'Intervals'!$A$4:$A$33,0)),14))),"Due soon","OK")))</f>
        <v/>
      </c>
      <c r="N850" s="15" t="n"/>
      <c r="O850" s="22">
        <f>IF(OR($M850="",$M850="OK"),"",$L850+ROW()/100000)</f>
        <v/>
      </c>
    </row>
    <row r="851">
      <c r="A851" s="15" t="n"/>
      <c r="B851" s="15" t="n"/>
      <c r="C851" s="16">
        <f>IF($B851="","",IFERROR(INDEX('Intervals'!$B$4:$B$33,MATCH($B851,'Intervals'!$A$4:$A$33,0)),""))</f>
        <v/>
      </c>
      <c r="D851" s="17" t="n"/>
      <c r="E851" s="18" t="n"/>
      <c r="F851" s="19">
        <f>IF(OR($B851="",$E851=""),"",IFERROR(IF(AND(INDEX('Intervals'!$G$4:$G$33,MATCH($B851,'Intervals'!$A$4:$A$33,0))&lt;&gt;"No",N(INDEX('Intervals'!$C$4:$C$33,MATCH($B851,'Intervals'!$A$4:$A$33,0)))&gt;0),$E851+N(INDEX('Intervals'!$C$4:$C$33,MATCH($B851,'Intervals'!$A$4:$A$33,0))),""),""))</f>
        <v/>
      </c>
      <c r="G851" s="20">
        <f>IF(OR($B851="",$D851=""),"",IFERROR(IF(AND(INDEX('Intervals'!$G$4:$G$33,MATCH($B851,'Intervals'!$A$4:$A$33,0))&lt;&gt;"No",N(INDEX('Intervals'!$D$4:$D$33,MATCH($B851,'Intervals'!$A$4:$A$33,0)))&gt;0),EDATE($D851,N(INDEX('Intervals'!$D$4:$D$33,MATCH($B851,'Intervals'!$A$4:$A$33,0)))),""),""))</f>
        <v/>
      </c>
      <c r="H851" s="19">
        <f>IF($A851="","",IFERROR(IF(N(INDEX('Cars'!$H$4:$H$103,MATCH($A851,'Cars'!$A$4:$A$103,0)))&gt;0,INDEX('Cars'!$H$4:$H$103,MATCH($A851,'Cars'!$A$4:$A$103,0)),""),""))</f>
        <v/>
      </c>
      <c r="I851" s="19">
        <f>IF(OR($F851="",$H851=""),"",$F851-$H851)</f>
        <v/>
      </c>
      <c r="J851" s="21">
        <f>IF($G851="","",$G851-TODAY())</f>
        <v/>
      </c>
      <c r="K851" s="21">
        <f>IF($I851="","",IFERROR(IF(N(INDEX('Cars'!$J$4:$J$103,MATCH($A851,'Cars'!$A$4:$A$103,0)))&gt;0,ROUND($I851/INDEX('Cars'!$J$4:$J$103,MATCH($A851,'Cars'!$A$4:$A$103,0))*30,0),""),""))</f>
        <v/>
      </c>
      <c r="L851" s="21">
        <f>IF(AND($J851="",$K851=""),"",MIN(IF($J851="",99999,$J851),IF($K851="",99999,$K851)))</f>
        <v/>
      </c>
      <c r="M851" s="16">
        <f>IF(AND($I851="",$J851=""),"",IF(OR(AND($I851&lt;&gt;"",N($I851)&lt;0),AND($J851&lt;&gt;"",N($J851)&lt;0)),"Overdue",IF(OR(AND($I851&lt;&gt;"",N($I851)&lt;=IFERROR(INDEX('Intervals'!$E$4:$E$33,MATCH($B851,'Intervals'!$A$4:$A$33,0)),500)),AND($J851&lt;&gt;"",N($J851)&lt;=IFERROR(INDEX('Intervals'!$F$4:$F$33,MATCH($B851,'Intervals'!$A$4:$A$33,0)),14))),"Due soon","OK")))</f>
        <v/>
      </c>
      <c r="N851" s="15" t="n"/>
      <c r="O851" s="22">
        <f>IF(OR($M851="",$M851="OK"),"",$L851+ROW()/100000)</f>
        <v/>
      </c>
    </row>
    <row r="852">
      <c r="A852" s="15" t="n"/>
      <c r="B852" s="15" t="n"/>
      <c r="C852" s="16">
        <f>IF($B852="","",IFERROR(INDEX('Intervals'!$B$4:$B$33,MATCH($B852,'Intervals'!$A$4:$A$33,0)),""))</f>
        <v/>
      </c>
      <c r="D852" s="17" t="n"/>
      <c r="E852" s="18" t="n"/>
      <c r="F852" s="19">
        <f>IF(OR($B852="",$E852=""),"",IFERROR(IF(AND(INDEX('Intervals'!$G$4:$G$33,MATCH($B852,'Intervals'!$A$4:$A$33,0))&lt;&gt;"No",N(INDEX('Intervals'!$C$4:$C$33,MATCH($B852,'Intervals'!$A$4:$A$33,0)))&gt;0),$E852+N(INDEX('Intervals'!$C$4:$C$33,MATCH($B852,'Intervals'!$A$4:$A$33,0))),""),""))</f>
        <v/>
      </c>
      <c r="G852" s="20">
        <f>IF(OR($B852="",$D852=""),"",IFERROR(IF(AND(INDEX('Intervals'!$G$4:$G$33,MATCH($B852,'Intervals'!$A$4:$A$33,0))&lt;&gt;"No",N(INDEX('Intervals'!$D$4:$D$33,MATCH($B852,'Intervals'!$A$4:$A$33,0)))&gt;0),EDATE($D852,N(INDEX('Intervals'!$D$4:$D$33,MATCH($B852,'Intervals'!$A$4:$A$33,0)))),""),""))</f>
        <v/>
      </c>
      <c r="H852" s="19">
        <f>IF($A852="","",IFERROR(IF(N(INDEX('Cars'!$H$4:$H$103,MATCH($A852,'Cars'!$A$4:$A$103,0)))&gt;0,INDEX('Cars'!$H$4:$H$103,MATCH($A852,'Cars'!$A$4:$A$103,0)),""),""))</f>
        <v/>
      </c>
      <c r="I852" s="19">
        <f>IF(OR($F852="",$H852=""),"",$F852-$H852)</f>
        <v/>
      </c>
      <c r="J852" s="21">
        <f>IF($G852="","",$G852-TODAY())</f>
        <v/>
      </c>
      <c r="K852" s="21">
        <f>IF($I852="","",IFERROR(IF(N(INDEX('Cars'!$J$4:$J$103,MATCH($A852,'Cars'!$A$4:$A$103,0)))&gt;0,ROUND($I852/INDEX('Cars'!$J$4:$J$103,MATCH($A852,'Cars'!$A$4:$A$103,0))*30,0),""),""))</f>
        <v/>
      </c>
      <c r="L852" s="21">
        <f>IF(AND($J852="",$K852=""),"",MIN(IF($J852="",99999,$J852),IF($K852="",99999,$K852)))</f>
        <v/>
      </c>
      <c r="M852" s="16">
        <f>IF(AND($I852="",$J852=""),"",IF(OR(AND($I852&lt;&gt;"",N($I852)&lt;0),AND($J852&lt;&gt;"",N($J852)&lt;0)),"Overdue",IF(OR(AND($I852&lt;&gt;"",N($I852)&lt;=IFERROR(INDEX('Intervals'!$E$4:$E$33,MATCH($B852,'Intervals'!$A$4:$A$33,0)),500)),AND($J852&lt;&gt;"",N($J852)&lt;=IFERROR(INDEX('Intervals'!$F$4:$F$33,MATCH($B852,'Intervals'!$A$4:$A$33,0)),14))),"Due soon","OK")))</f>
        <v/>
      </c>
      <c r="N852" s="15" t="n"/>
      <c r="O852" s="22">
        <f>IF(OR($M852="",$M852="OK"),"",$L852+ROW()/100000)</f>
        <v/>
      </c>
    </row>
    <row r="853">
      <c r="A853" s="15" t="n"/>
      <c r="B853" s="15" t="n"/>
      <c r="C853" s="16">
        <f>IF($B853="","",IFERROR(INDEX('Intervals'!$B$4:$B$33,MATCH($B853,'Intervals'!$A$4:$A$33,0)),""))</f>
        <v/>
      </c>
      <c r="D853" s="17" t="n"/>
      <c r="E853" s="18" t="n"/>
      <c r="F853" s="19">
        <f>IF(OR($B853="",$E853=""),"",IFERROR(IF(AND(INDEX('Intervals'!$G$4:$G$33,MATCH($B853,'Intervals'!$A$4:$A$33,0))&lt;&gt;"No",N(INDEX('Intervals'!$C$4:$C$33,MATCH($B853,'Intervals'!$A$4:$A$33,0)))&gt;0),$E853+N(INDEX('Intervals'!$C$4:$C$33,MATCH($B853,'Intervals'!$A$4:$A$33,0))),""),""))</f>
        <v/>
      </c>
      <c r="G853" s="20">
        <f>IF(OR($B853="",$D853=""),"",IFERROR(IF(AND(INDEX('Intervals'!$G$4:$G$33,MATCH($B853,'Intervals'!$A$4:$A$33,0))&lt;&gt;"No",N(INDEX('Intervals'!$D$4:$D$33,MATCH($B853,'Intervals'!$A$4:$A$33,0)))&gt;0),EDATE($D853,N(INDEX('Intervals'!$D$4:$D$33,MATCH($B853,'Intervals'!$A$4:$A$33,0)))),""),""))</f>
        <v/>
      </c>
      <c r="H853" s="19">
        <f>IF($A853="","",IFERROR(IF(N(INDEX('Cars'!$H$4:$H$103,MATCH($A853,'Cars'!$A$4:$A$103,0)))&gt;0,INDEX('Cars'!$H$4:$H$103,MATCH($A853,'Cars'!$A$4:$A$103,0)),""),""))</f>
        <v/>
      </c>
      <c r="I853" s="19">
        <f>IF(OR($F853="",$H853=""),"",$F853-$H853)</f>
        <v/>
      </c>
      <c r="J853" s="21">
        <f>IF($G853="","",$G853-TODAY())</f>
        <v/>
      </c>
      <c r="K853" s="21">
        <f>IF($I853="","",IFERROR(IF(N(INDEX('Cars'!$J$4:$J$103,MATCH($A853,'Cars'!$A$4:$A$103,0)))&gt;0,ROUND($I853/INDEX('Cars'!$J$4:$J$103,MATCH($A853,'Cars'!$A$4:$A$103,0))*30,0),""),""))</f>
        <v/>
      </c>
      <c r="L853" s="21">
        <f>IF(AND($J853="",$K853=""),"",MIN(IF($J853="",99999,$J853),IF($K853="",99999,$K853)))</f>
        <v/>
      </c>
      <c r="M853" s="16">
        <f>IF(AND($I853="",$J853=""),"",IF(OR(AND($I853&lt;&gt;"",N($I853)&lt;0),AND($J853&lt;&gt;"",N($J853)&lt;0)),"Overdue",IF(OR(AND($I853&lt;&gt;"",N($I853)&lt;=IFERROR(INDEX('Intervals'!$E$4:$E$33,MATCH($B853,'Intervals'!$A$4:$A$33,0)),500)),AND($J853&lt;&gt;"",N($J853)&lt;=IFERROR(INDEX('Intervals'!$F$4:$F$33,MATCH($B853,'Intervals'!$A$4:$A$33,0)),14))),"Due soon","OK")))</f>
        <v/>
      </c>
      <c r="N853" s="15" t="n"/>
      <c r="O853" s="22">
        <f>IF(OR($M853="",$M853="OK"),"",$L853+ROW()/100000)</f>
        <v/>
      </c>
    </row>
    <row r="854">
      <c r="A854" s="15" t="n"/>
      <c r="B854" s="15" t="n"/>
      <c r="C854" s="16">
        <f>IF($B854="","",IFERROR(INDEX('Intervals'!$B$4:$B$33,MATCH($B854,'Intervals'!$A$4:$A$33,0)),""))</f>
        <v/>
      </c>
      <c r="D854" s="17" t="n"/>
      <c r="E854" s="18" t="n"/>
      <c r="F854" s="19">
        <f>IF(OR($B854="",$E854=""),"",IFERROR(IF(AND(INDEX('Intervals'!$G$4:$G$33,MATCH($B854,'Intervals'!$A$4:$A$33,0))&lt;&gt;"No",N(INDEX('Intervals'!$C$4:$C$33,MATCH($B854,'Intervals'!$A$4:$A$33,0)))&gt;0),$E854+N(INDEX('Intervals'!$C$4:$C$33,MATCH($B854,'Intervals'!$A$4:$A$33,0))),""),""))</f>
        <v/>
      </c>
      <c r="G854" s="20">
        <f>IF(OR($B854="",$D854=""),"",IFERROR(IF(AND(INDEX('Intervals'!$G$4:$G$33,MATCH($B854,'Intervals'!$A$4:$A$33,0))&lt;&gt;"No",N(INDEX('Intervals'!$D$4:$D$33,MATCH($B854,'Intervals'!$A$4:$A$33,0)))&gt;0),EDATE($D854,N(INDEX('Intervals'!$D$4:$D$33,MATCH($B854,'Intervals'!$A$4:$A$33,0)))),""),""))</f>
        <v/>
      </c>
      <c r="H854" s="19">
        <f>IF($A854="","",IFERROR(IF(N(INDEX('Cars'!$H$4:$H$103,MATCH($A854,'Cars'!$A$4:$A$103,0)))&gt;0,INDEX('Cars'!$H$4:$H$103,MATCH($A854,'Cars'!$A$4:$A$103,0)),""),""))</f>
        <v/>
      </c>
      <c r="I854" s="19">
        <f>IF(OR($F854="",$H854=""),"",$F854-$H854)</f>
        <v/>
      </c>
      <c r="J854" s="21">
        <f>IF($G854="","",$G854-TODAY())</f>
        <v/>
      </c>
      <c r="K854" s="21">
        <f>IF($I854="","",IFERROR(IF(N(INDEX('Cars'!$J$4:$J$103,MATCH($A854,'Cars'!$A$4:$A$103,0)))&gt;0,ROUND($I854/INDEX('Cars'!$J$4:$J$103,MATCH($A854,'Cars'!$A$4:$A$103,0))*30,0),""),""))</f>
        <v/>
      </c>
      <c r="L854" s="21">
        <f>IF(AND($J854="",$K854=""),"",MIN(IF($J854="",99999,$J854),IF($K854="",99999,$K854)))</f>
        <v/>
      </c>
      <c r="M854" s="16">
        <f>IF(AND($I854="",$J854=""),"",IF(OR(AND($I854&lt;&gt;"",N($I854)&lt;0),AND($J854&lt;&gt;"",N($J854)&lt;0)),"Overdue",IF(OR(AND($I854&lt;&gt;"",N($I854)&lt;=IFERROR(INDEX('Intervals'!$E$4:$E$33,MATCH($B854,'Intervals'!$A$4:$A$33,0)),500)),AND($J854&lt;&gt;"",N($J854)&lt;=IFERROR(INDEX('Intervals'!$F$4:$F$33,MATCH($B854,'Intervals'!$A$4:$A$33,0)),14))),"Due soon","OK")))</f>
        <v/>
      </c>
      <c r="N854" s="15" t="n"/>
      <c r="O854" s="22">
        <f>IF(OR($M854="",$M854="OK"),"",$L854+ROW()/100000)</f>
        <v/>
      </c>
    </row>
    <row r="855">
      <c r="A855" s="15" t="n"/>
      <c r="B855" s="15" t="n"/>
      <c r="C855" s="16">
        <f>IF($B855="","",IFERROR(INDEX('Intervals'!$B$4:$B$33,MATCH($B855,'Intervals'!$A$4:$A$33,0)),""))</f>
        <v/>
      </c>
      <c r="D855" s="17" t="n"/>
      <c r="E855" s="18" t="n"/>
      <c r="F855" s="19">
        <f>IF(OR($B855="",$E855=""),"",IFERROR(IF(AND(INDEX('Intervals'!$G$4:$G$33,MATCH($B855,'Intervals'!$A$4:$A$33,0))&lt;&gt;"No",N(INDEX('Intervals'!$C$4:$C$33,MATCH($B855,'Intervals'!$A$4:$A$33,0)))&gt;0),$E855+N(INDEX('Intervals'!$C$4:$C$33,MATCH($B855,'Intervals'!$A$4:$A$33,0))),""),""))</f>
        <v/>
      </c>
      <c r="G855" s="20">
        <f>IF(OR($B855="",$D855=""),"",IFERROR(IF(AND(INDEX('Intervals'!$G$4:$G$33,MATCH($B855,'Intervals'!$A$4:$A$33,0))&lt;&gt;"No",N(INDEX('Intervals'!$D$4:$D$33,MATCH($B855,'Intervals'!$A$4:$A$33,0)))&gt;0),EDATE($D855,N(INDEX('Intervals'!$D$4:$D$33,MATCH($B855,'Intervals'!$A$4:$A$33,0)))),""),""))</f>
        <v/>
      </c>
      <c r="H855" s="19">
        <f>IF($A855="","",IFERROR(IF(N(INDEX('Cars'!$H$4:$H$103,MATCH($A855,'Cars'!$A$4:$A$103,0)))&gt;0,INDEX('Cars'!$H$4:$H$103,MATCH($A855,'Cars'!$A$4:$A$103,0)),""),""))</f>
        <v/>
      </c>
      <c r="I855" s="19">
        <f>IF(OR($F855="",$H855=""),"",$F855-$H855)</f>
        <v/>
      </c>
      <c r="J855" s="21">
        <f>IF($G855="","",$G855-TODAY())</f>
        <v/>
      </c>
      <c r="K855" s="21">
        <f>IF($I855="","",IFERROR(IF(N(INDEX('Cars'!$J$4:$J$103,MATCH($A855,'Cars'!$A$4:$A$103,0)))&gt;0,ROUND($I855/INDEX('Cars'!$J$4:$J$103,MATCH($A855,'Cars'!$A$4:$A$103,0))*30,0),""),""))</f>
        <v/>
      </c>
      <c r="L855" s="21">
        <f>IF(AND($J855="",$K855=""),"",MIN(IF($J855="",99999,$J855),IF($K855="",99999,$K855)))</f>
        <v/>
      </c>
      <c r="M855" s="16">
        <f>IF(AND($I855="",$J855=""),"",IF(OR(AND($I855&lt;&gt;"",N($I855)&lt;0),AND($J855&lt;&gt;"",N($J855)&lt;0)),"Overdue",IF(OR(AND($I855&lt;&gt;"",N($I855)&lt;=IFERROR(INDEX('Intervals'!$E$4:$E$33,MATCH($B855,'Intervals'!$A$4:$A$33,0)),500)),AND($J855&lt;&gt;"",N($J855)&lt;=IFERROR(INDEX('Intervals'!$F$4:$F$33,MATCH($B855,'Intervals'!$A$4:$A$33,0)),14))),"Due soon","OK")))</f>
        <v/>
      </c>
      <c r="N855" s="15" t="n"/>
      <c r="O855" s="22">
        <f>IF(OR($M855="",$M855="OK"),"",$L855+ROW()/100000)</f>
        <v/>
      </c>
    </row>
    <row r="856">
      <c r="A856" s="15" t="n"/>
      <c r="B856" s="15" t="n"/>
      <c r="C856" s="16">
        <f>IF($B856="","",IFERROR(INDEX('Intervals'!$B$4:$B$33,MATCH($B856,'Intervals'!$A$4:$A$33,0)),""))</f>
        <v/>
      </c>
      <c r="D856" s="17" t="n"/>
      <c r="E856" s="18" t="n"/>
      <c r="F856" s="19">
        <f>IF(OR($B856="",$E856=""),"",IFERROR(IF(AND(INDEX('Intervals'!$G$4:$G$33,MATCH($B856,'Intervals'!$A$4:$A$33,0))&lt;&gt;"No",N(INDEX('Intervals'!$C$4:$C$33,MATCH($B856,'Intervals'!$A$4:$A$33,0)))&gt;0),$E856+N(INDEX('Intervals'!$C$4:$C$33,MATCH($B856,'Intervals'!$A$4:$A$33,0))),""),""))</f>
        <v/>
      </c>
      <c r="G856" s="20">
        <f>IF(OR($B856="",$D856=""),"",IFERROR(IF(AND(INDEX('Intervals'!$G$4:$G$33,MATCH($B856,'Intervals'!$A$4:$A$33,0))&lt;&gt;"No",N(INDEX('Intervals'!$D$4:$D$33,MATCH($B856,'Intervals'!$A$4:$A$33,0)))&gt;0),EDATE($D856,N(INDEX('Intervals'!$D$4:$D$33,MATCH($B856,'Intervals'!$A$4:$A$33,0)))),""),""))</f>
        <v/>
      </c>
      <c r="H856" s="19">
        <f>IF($A856="","",IFERROR(IF(N(INDEX('Cars'!$H$4:$H$103,MATCH($A856,'Cars'!$A$4:$A$103,0)))&gt;0,INDEX('Cars'!$H$4:$H$103,MATCH($A856,'Cars'!$A$4:$A$103,0)),""),""))</f>
        <v/>
      </c>
      <c r="I856" s="19">
        <f>IF(OR($F856="",$H856=""),"",$F856-$H856)</f>
        <v/>
      </c>
      <c r="J856" s="21">
        <f>IF($G856="","",$G856-TODAY())</f>
        <v/>
      </c>
      <c r="K856" s="21">
        <f>IF($I856="","",IFERROR(IF(N(INDEX('Cars'!$J$4:$J$103,MATCH($A856,'Cars'!$A$4:$A$103,0)))&gt;0,ROUND($I856/INDEX('Cars'!$J$4:$J$103,MATCH($A856,'Cars'!$A$4:$A$103,0))*30,0),""),""))</f>
        <v/>
      </c>
      <c r="L856" s="21">
        <f>IF(AND($J856="",$K856=""),"",MIN(IF($J856="",99999,$J856),IF($K856="",99999,$K856)))</f>
        <v/>
      </c>
      <c r="M856" s="16">
        <f>IF(AND($I856="",$J856=""),"",IF(OR(AND($I856&lt;&gt;"",N($I856)&lt;0),AND($J856&lt;&gt;"",N($J856)&lt;0)),"Overdue",IF(OR(AND($I856&lt;&gt;"",N($I856)&lt;=IFERROR(INDEX('Intervals'!$E$4:$E$33,MATCH($B856,'Intervals'!$A$4:$A$33,0)),500)),AND($J856&lt;&gt;"",N($J856)&lt;=IFERROR(INDEX('Intervals'!$F$4:$F$33,MATCH($B856,'Intervals'!$A$4:$A$33,0)),14))),"Due soon","OK")))</f>
        <v/>
      </c>
      <c r="N856" s="15" t="n"/>
      <c r="O856" s="22">
        <f>IF(OR($M856="",$M856="OK"),"",$L856+ROW()/100000)</f>
        <v/>
      </c>
    </row>
    <row r="857">
      <c r="A857" s="15" t="n"/>
      <c r="B857" s="15" t="n"/>
      <c r="C857" s="16">
        <f>IF($B857="","",IFERROR(INDEX('Intervals'!$B$4:$B$33,MATCH($B857,'Intervals'!$A$4:$A$33,0)),""))</f>
        <v/>
      </c>
      <c r="D857" s="17" t="n"/>
      <c r="E857" s="18" t="n"/>
      <c r="F857" s="19">
        <f>IF(OR($B857="",$E857=""),"",IFERROR(IF(AND(INDEX('Intervals'!$G$4:$G$33,MATCH($B857,'Intervals'!$A$4:$A$33,0))&lt;&gt;"No",N(INDEX('Intervals'!$C$4:$C$33,MATCH($B857,'Intervals'!$A$4:$A$33,0)))&gt;0),$E857+N(INDEX('Intervals'!$C$4:$C$33,MATCH($B857,'Intervals'!$A$4:$A$33,0))),""),""))</f>
        <v/>
      </c>
      <c r="G857" s="20">
        <f>IF(OR($B857="",$D857=""),"",IFERROR(IF(AND(INDEX('Intervals'!$G$4:$G$33,MATCH($B857,'Intervals'!$A$4:$A$33,0))&lt;&gt;"No",N(INDEX('Intervals'!$D$4:$D$33,MATCH($B857,'Intervals'!$A$4:$A$33,0)))&gt;0),EDATE($D857,N(INDEX('Intervals'!$D$4:$D$33,MATCH($B857,'Intervals'!$A$4:$A$33,0)))),""),""))</f>
        <v/>
      </c>
      <c r="H857" s="19">
        <f>IF($A857="","",IFERROR(IF(N(INDEX('Cars'!$H$4:$H$103,MATCH($A857,'Cars'!$A$4:$A$103,0)))&gt;0,INDEX('Cars'!$H$4:$H$103,MATCH($A857,'Cars'!$A$4:$A$103,0)),""),""))</f>
        <v/>
      </c>
      <c r="I857" s="19">
        <f>IF(OR($F857="",$H857=""),"",$F857-$H857)</f>
        <v/>
      </c>
      <c r="J857" s="21">
        <f>IF($G857="","",$G857-TODAY())</f>
        <v/>
      </c>
      <c r="K857" s="21">
        <f>IF($I857="","",IFERROR(IF(N(INDEX('Cars'!$J$4:$J$103,MATCH($A857,'Cars'!$A$4:$A$103,0)))&gt;0,ROUND($I857/INDEX('Cars'!$J$4:$J$103,MATCH($A857,'Cars'!$A$4:$A$103,0))*30,0),""),""))</f>
        <v/>
      </c>
      <c r="L857" s="21">
        <f>IF(AND($J857="",$K857=""),"",MIN(IF($J857="",99999,$J857),IF($K857="",99999,$K857)))</f>
        <v/>
      </c>
      <c r="M857" s="16">
        <f>IF(AND($I857="",$J857=""),"",IF(OR(AND($I857&lt;&gt;"",N($I857)&lt;0),AND($J857&lt;&gt;"",N($J857)&lt;0)),"Overdue",IF(OR(AND($I857&lt;&gt;"",N($I857)&lt;=IFERROR(INDEX('Intervals'!$E$4:$E$33,MATCH($B857,'Intervals'!$A$4:$A$33,0)),500)),AND($J857&lt;&gt;"",N($J857)&lt;=IFERROR(INDEX('Intervals'!$F$4:$F$33,MATCH($B857,'Intervals'!$A$4:$A$33,0)),14))),"Due soon","OK")))</f>
        <v/>
      </c>
      <c r="N857" s="15" t="n"/>
      <c r="O857" s="22">
        <f>IF(OR($M857="",$M857="OK"),"",$L857+ROW()/100000)</f>
        <v/>
      </c>
    </row>
    <row r="858">
      <c r="A858" s="15" t="n"/>
      <c r="B858" s="15" t="n"/>
      <c r="C858" s="16">
        <f>IF($B858="","",IFERROR(INDEX('Intervals'!$B$4:$B$33,MATCH($B858,'Intervals'!$A$4:$A$33,0)),""))</f>
        <v/>
      </c>
      <c r="D858" s="17" t="n"/>
      <c r="E858" s="18" t="n"/>
      <c r="F858" s="19">
        <f>IF(OR($B858="",$E858=""),"",IFERROR(IF(AND(INDEX('Intervals'!$G$4:$G$33,MATCH($B858,'Intervals'!$A$4:$A$33,0))&lt;&gt;"No",N(INDEX('Intervals'!$C$4:$C$33,MATCH($B858,'Intervals'!$A$4:$A$33,0)))&gt;0),$E858+N(INDEX('Intervals'!$C$4:$C$33,MATCH($B858,'Intervals'!$A$4:$A$33,0))),""),""))</f>
        <v/>
      </c>
      <c r="G858" s="20">
        <f>IF(OR($B858="",$D858=""),"",IFERROR(IF(AND(INDEX('Intervals'!$G$4:$G$33,MATCH($B858,'Intervals'!$A$4:$A$33,0))&lt;&gt;"No",N(INDEX('Intervals'!$D$4:$D$33,MATCH($B858,'Intervals'!$A$4:$A$33,0)))&gt;0),EDATE($D858,N(INDEX('Intervals'!$D$4:$D$33,MATCH($B858,'Intervals'!$A$4:$A$33,0)))),""),""))</f>
        <v/>
      </c>
      <c r="H858" s="19">
        <f>IF($A858="","",IFERROR(IF(N(INDEX('Cars'!$H$4:$H$103,MATCH($A858,'Cars'!$A$4:$A$103,0)))&gt;0,INDEX('Cars'!$H$4:$H$103,MATCH($A858,'Cars'!$A$4:$A$103,0)),""),""))</f>
        <v/>
      </c>
      <c r="I858" s="19">
        <f>IF(OR($F858="",$H858=""),"",$F858-$H858)</f>
        <v/>
      </c>
      <c r="J858" s="21">
        <f>IF($G858="","",$G858-TODAY())</f>
        <v/>
      </c>
      <c r="K858" s="21">
        <f>IF($I858="","",IFERROR(IF(N(INDEX('Cars'!$J$4:$J$103,MATCH($A858,'Cars'!$A$4:$A$103,0)))&gt;0,ROUND($I858/INDEX('Cars'!$J$4:$J$103,MATCH($A858,'Cars'!$A$4:$A$103,0))*30,0),""),""))</f>
        <v/>
      </c>
      <c r="L858" s="21">
        <f>IF(AND($J858="",$K858=""),"",MIN(IF($J858="",99999,$J858),IF($K858="",99999,$K858)))</f>
        <v/>
      </c>
      <c r="M858" s="16">
        <f>IF(AND($I858="",$J858=""),"",IF(OR(AND($I858&lt;&gt;"",N($I858)&lt;0),AND($J858&lt;&gt;"",N($J858)&lt;0)),"Overdue",IF(OR(AND($I858&lt;&gt;"",N($I858)&lt;=IFERROR(INDEX('Intervals'!$E$4:$E$33,MATCH($B858,'Intervals'!$A$4:$A$33,0)),500)),AND($J858&lt;&gt;"",N($J858)&lt;=IFERROR(INDEX('Intervals'!$F$4:$F$33,MATCH($B858,'Intervals'!$A$4:$A$33,0)),14))),"Due soon","OK")))</f>
        <v/>
      </c>
      <c r="N858" s="15" t="n"/>
      <c r="O858" s="22">
        <f>IF(OR($M858="",$M858="OK"),"",$L858+ROW()/100000)</f>
        <v/>
      </c>
    </row>
    <row r="859">
      <c r="A859" s="15" t="n"/>
      <c r="B859" s="15" t="n"/>
      <c r="C859" s="16">
        <f>IF($B859="","",IFERROR(INDEX('Intervals'!$B$4:$B$33,MATCH($B859,'Intervals'!$A$4:$A$33,0)),""))</f>
        <v/>
      </c>
      <c r="D859" s="17" t="n"/>
      <c r="E859" s="18" t="n"/>
      <c r="F859" s="19">
        <f>IF(OR($B859="",$E859=""),"",IFERROR(IF(AND(INDEX('Intervals'!$G$4:$G$33,MATCH($B859,'Intervals'!$A$4:$A$33,0))&lt;&gt;"No",N(INDEX('Intervals'!$C$4:$C$33,MATCH($B859,'Intervals'!$A$4:$A$33,0)))&gt;0),$E859+N(INDEX('Intervals'!$C$4:$C$33,MATCH($B859,'Intervals'!$A$4:$A$33,0))),""),""))</f>
        <v/>
      </c>
      <c r="G859" s="20">
        <f>IF(OR($B859="",$D859=""),"",IFERROR(IF(AND(INDEX('Intervals'!$G$4:$G$33,MATCH($B859,'Intervals'!$A$4:$A$33,0))&lt;&gt;"No",N(INDEX('Intervals'!$D$4:$D$33,MATCH($B859,'Intervals'!$A$4:$A$33,0)))&gt;0),EDATE($D859,N(INDEX('Intervals'!$D$4:$D$33,MATCH($B859,'Intervals'!$A$4:$A$33,0)))),""),""))</f>
        <v/>
      </c>
      <c r="H859" s="19">
        <f>IF($A859="","",IFERROR(IF(N(INDEX('Cars'!$H$4:$H$103,MATCH($A859,'Cars'!$A$4:$A$103,0)))&gt;0,INDEX('Cars'!$H$4:$H$103,MATCH($A859,'Cars'!$A$4:$A$103,0)),""),""))</f>
        <v/>
      </c>
      <c r="I859" s="19">
        <f>IF(OR($F859="",$H859=""),"",$F859-$H859)</f>
        <v/>
      </c>
      <c r="J859" s="21">
        <f>IF($G859="","",$G859-TODAY())</f>
        <v/>
      </c>
      <c r="K859" s="21">
        <f>IF($I859="","",IFERROR(IF(N(INDEX('Cars'!$J$4:$J$103,MATCH($A859,'Cars'!$A$4:$A$103,0)))&gt;0,ROUND($I859/INDEX('Cars'!$J$4:$J$103,MATCH($A859,'Cars'!$A$4:$A$103,0))*30,0),""),""))</f>
        <v/>
      </c>
      <c r="L859" s="21">
        <f>IF(AND($J859="",$K859=""),"",MIN(IF($J859="",99999,$J859),IF($K859="",99999,$K859)))</f>
        <v/>
      </c>
      <c r="M859" s="16">
        <f>IF(AND($I859="",$J859=""),"",IF(OR(AND($I859&lt;&gt;"",N($I859)&lt;0),AND($J859&lt;&gt;"",N($J859)&lt;0)),"Overdue",IF(OR(AND($I859&lt;&gt;"",N($I859)&lt;=IFERROR(INDEX('Intervals'!$E$4:$E$33,MATCH($B859,'Intervals'!$A$4:$A$33,0)),500)),AND($J859&lt;&gt;"",N($J859)&lt;=IFERROR(INDEX('Intervals'!$F$4:$F$33,MATCH($B859,'Intervals'!$A$4:$A$33,0)),14))),"Due soon","OK")))</f>
        <v/>
      </c>
      <c r="N859" s="15" t="n"/>
      <c r="O859" s="22">
        <f>IF(OR($M859="",$M859="OK"),"",$L859+ROW()/100000)</f>
        <v/>
      </c>
    </row>
    <row r="860">
      <c r="A860" s="15" t="n"/>
      <c r="B860" s="15" t="n"/>
      <c r="C860" s="16">
        <f>IF($B860="","",IFERROR(INDEX('Intervals'!$B$4:$B$33,MATCH($B860,'Intervals'!$A$4:$A$33,0)),""))</f>
        <v/>
      </c>
      <c r="D860" s="17" t="n"/>
      <c r="E860" s="18" t="n"/>
      <c r="F860" s="19">
        <f>IF(OR($B860="",$E860=""),"",IFERROR(IF(AND(INDEX('Intervals'!$G$4:$G$33,MATCH($B860,'Intervals'!$A$4:$A$33,0))&lt;&gt;"No",N(INDEX('Intervals'!$C$4:$C$33,MATCH($B860,'Intervals'!$A$4:$A$33,0)))&gt;0),$E860+N(INDEX('Intervals'!$C$4:$C$33,MATCH($B860,'Intervals'!$A$4:$A$33,0))),""),""))</f>
        <v/>
      </c>
      <c r="G860" s="20">
        <f>IF(OR($B860="",$D860=""),"",IFERROR(IF(AND(INDEX('Intervals'!$G$4:$G$33,MATCH($B860,'Intervals'!$A$4:$A$33,0))&lt;&gt;"No",N(INDEX('Intervals'!$D$4:$D$33,MATCH($B860,'Intervals'!$A$4:$A$33,0)))&gt;0),EDATE($D860,N(INDEX('Intervals'!$D$4:$D$33,MATCH($B860,'Intervals'!$A$4:$A$33,0)))),""),""))</f>
        <v/>
      </c>
      <c r="H860" s="19">
        <f>IF($A860="","",IFERROR(IF(N(INDEX('Cars'!$H$4:$H$103,MATCH($A860,'Cars'!$A$4:$A$103,0)))&gt;0,INDEX('Cars'!$H$4:$H$103,MATCH($A860,'Cars'!$A$4:$A$103,0)),""),""))</f>
        <v/>
      </c>
      <c r="I860" s="19">
        <f>IF(OR($F860="",$H860=""),"",$F860-$H860)</f>
        <v/>
      </c>
      <c r="J860" s="21">
        <f>IF($G860="","",$G860-TODAY())</f>
        <v/>
      </c>
      <c r="K860" s="21">
        <f>IF($I860="","",IFERROR(IF(N(INDEX('Cars'!$J$4:$J$103,MATCH($A860,'Cars'!$A$4:$A$103,0)))&gt;0,ROUND($I860/INDEX('Cars'!$J$4:$J$103,MATCH($A860,'Cars'!$A$4:$A$103,0))*30,0),""),""))</f>
        <v/>
      </c>
      <c r="L860" s="21">
        <f>IF(AND($J860="",$K860=""),"",MIN(IF($J860="",99999,$J860),IF($K860="",99999,$K860)))</f>
        <v/>
      </c>
      <c r="M860" s="16">
        <f>IF(AND($I860="",$J860=""),"",IF(OR(AND($I860&lt;&gt;"",N($I860)&lt;0),AND($J860&lt;&gt;"",N($J860)&lt;0)),"Overdue",IF(OR(AND($I860&lt;&gt;"",N($I860)&lt;=IFERROR(INDEX('Intervals'!$E$4:$E$33,MATCH($B860,'Intervals'!$A$4:$A$33,0)),500)),AND($J860&lt;&gt;"",N($J860)&lt;=IFERROR(INDEX('Intervals'!$F$4:$F$33,MATCH($B860,'Intervals'!$A$4:$A$33,0)),14))),"Due soon","OK")))</f>
        <v/>
      </c>
      <c r="N860" s="15" t="n"/>
      <c r="O860" s="22">
        <f>IF(OR($M860="",$M860="OK"),"",$L860+ROW()/100000)</f>
        <v/>
      </c>
    </row>
    <row r="861">
      <c r="A861" s="15" t="n"/>
      <c r="B861" s="15" t="n"/>
      <c r="C861" s="16">
        <f>IF($B861="","",IFERROR(INDEX('Intervals'!$B$4:$B$33,MATCH($B861,'Intervals'!$A$4:$A$33,0)),""))</f>
        <v/>
      </c>
      <c r="D861" s="17" t="n"/>
      <c r="E861" s="18" t="n"/>
      <c r="F861" s="19">
        <f>IF(OR($B861="",$E861=""),"",IFERROR(IF(AND(INDEX('Intervals'!$G$4:$G$33,MATCH($B861,'Intervals'!$A$4:$A$33,0))&lt;&gt;"No",N(INDEX('Intervals'!$C$4:$C$33,MATCH($B861,'Intervals'!$A$4:$A$33,0)))&gt;0),$E861+N(INDEX('Intervals'!$C$4:$C$33,MATCH($B861,'Intervals'!$A$4:$A$33,0))),""),""))</f>
        <v/>
      </c>
      <c r="G861" s="20">
        <f>IF(OR($B861="",$D861=""),"",IFERROR(IF(AND(INDEX('Intervals'!$G$4:$G$33,MATCH($B861,'Intervals'!$A$4:$A$33,0))&lt;&gt;"No",N(INDEX('Intervals'!$D$4:$D$33,MATCH($B861,'Intervals'!$A$4:$A$33,0)))&gt;0),EDATE($D861,N(INDEX('Intervals'!$D$4:$D$33,MATCH($B861,'Intervals'!$A$4:$A$33,0)))),""),""))</f>
        <v/>
      </c>
      <c r="H861" s="19">
        <f>IF($A861="","",IFERROR(IF(N(INDEX('Cars'!$H$4:$H$103,MATCH($A861,'Cars'!$A$4:$A$103,0)))&gt;0,INDEX('Cars'!$H$4:$H$103,MATCH($A861,'Cars'!$A$4:$A$103,0)),""),""))</f>
        <v/>
      </c>
      <c r="I861" s="19">
        <f>IF(OR($F861="",$H861=""),"",$F861-$H861)</f>
        <v/>
      </c>
      <c r="J861" s="21">
        <f>IF($G861="","",$G861-TODAY())</f>
        <v/>
      </c>
      <c r="K861" s="21">
        <f>IF($I861="","",IFERROR(IF(N(INDEX('Cars'!$J$4:$J$103,MATCH($A861,'Cars'!$A$4:$A$103,0)))&gt;0,ROUND($I861/INDEX('Cars'!$J$4:$J$103,MATCH($A861,'Cars'!$A$4:$A$103,0))*30,0),""),""))</f>
        <v/>
      </c>
      <c r="L861" s="21">
        <f>IF(AND($J861="",$K861=""),"",MIN(IF($J861="",99999,$J861),IF($K861="",99999,$K861)))</f>
        <v/>
      </c>
      <c r="M861" s="16">
        <f>IF(AND($I861="",$J861=""),"",IF(OR(AND($I861&lt;&gt;"",N($I861)&lt;0),AND($J861&lt;&gt;"",N($J861)&lt;0)),"Overdue",IF(OR(AND($I861&lt;&gt;"",N($I861)&lt;=IFERROR(INDEX('Intervals'!$E$4:$E$33,MATCH($B861,'Intervals'!$A$4:$A$33,0)),500)),AND($J861&lt;&gt;"",N($J861)&lt;=IFERROR(INDEX('Intervals'!$F$4:$F$33,MATCH($B861,'Intervals'!$A$4:$A$33,0)),14))),"Due soon","OK")))</f>
        <v/>
      </c>
      <c r="N861" s="15" t="n"/>
      <c r="O861" s="22">
        <f>IF(OR($M861="",$M861="OK"),"",$L861+ROW()/100000)</f>
        <v/>
      </c>
    </row>
    <row r="862">
      <c r="A862" s="15" t="n"/>
      <c r="B862" s="15" t="n"/>
      <c r="C862" s="16">
        <f>IF($B862="","",IFERROR(INDEX('Intervals'!$B$4:$B$33,MATCH($B862,'Intervals'!$A$4:$A$33,0)),""))</f>
        <v/>
      </c>
      <c r="D862" s="17" t="n"/>
      <c r="E862" s="18" t="n"/>
      <c r="F862" s="19">
        <f>IF(OR($B862="",$E862=""),"",IFERROR(IF(AND(INDEX('Intervals'!$G$4:$G$33,MATCH($B862,'Intervals'!$A$4:$A$33,0))&lt;&gt;"No",N(INDEX('Intervals'!$C$4:$C$33,MATCH($B862,'Intervals'!$A$4:$A$33,0)))&gt;0),$E862+N(INDEX('Intervals'!$C$4:$C$33,MATCH($B862,'Intervals'!$A$4:$A$33,0))),""),""))</f>
        <v/>
      </c>
      <c r="G862" s="20">
        <f>IF(OR($B862="",$D862=""),"",IFERROR(IF(AND(INDEX('Intervals'!$G$4:$G$33,MATCH($B862,'Intervals'!$A$4:$A$33,0))&lt;&gt;"No",N(INDEX('Intervals'!$D$4:$D$33,MATCH($B862,'Intervals'!$A$4:$A$33,0)))&gt;0),EDATE($D862,N(INDEX('Intervals'!$D$4:$D$33,MATCH($B862,'Intervals'!$A$4:$A$33,0)))),""),""))</f>
        <v/>
      </c>
      <c r="H862" s="19">
        <f>IF($A862="","",IFERROR(IF(N(INDEX('Cars'!$H$4:$H$103,MATCH($A862,'Cars'!$A$4:$A$103,0)))&gt;0,INDEX('Cars'!$H$4:$H$103,MATCH($A862,'Cars'!$A$4:$A$103,0)),""),""))</f>
        <v/>
      </c>
      <c r="I862" s="19">
        <f>IF(OR($F862="",$H862=""),"",$F862-$H862)</f>
        <v/>
      </c>
      <c r="J862" s="21">
        <f>IF($G862="","",$G862-TODAY())</f>
        <v/>
      </c>
      <c r="K862" s="21">
        <f>IF($I862="","",IFERROR(IF(N(INDEX('Cars'!$J$4:$J$103,MATCH($A862,'Cars'!$A$4:$A$103,0)))&gt;0,ROUND($I862/INDEX('Cars'!$J$4:$J$103,MATCH($A862,'Cars'!$A$4:$A$103,0))*30,0),""),""))</f>
        <v/>
      </c>
      <c r="L862" s="21">
        <f>IF(AND($J862="",$K862=""),"",MIN(IF($J862="",99999,$J862),IF($K862="",99999,$K862)))</f>
        <v/>
      </c>
      <c r="M862" s="16">
        <f>IF(AND($I862="",$J862=""),"",IF(OR(AND($I862&lt;&gt;"",N($I862)&lt;0),AND($J862&lt;&gt;"",N($J862)&lt;0)),"Overdue",IF(OR(AND($I862&lt;&gt;"",N($I862)&lt;=IFERROR(INDEX('Intervals'!$E$4:$E$33,MATCH($B862,'Intervals'!$A$4:$A$33,0)),500)),AND($J862&lt;&gt;"",N($J862)&lt;=IFERROR(INDEX('Intervals'!$F$4:$F$33,MATCH($B862,'Intervals'!$A$4:$A$33,0)),14))),"Due soon","OK")))</f>
        <v/>
      </c>
      <c r="N862" s="15" t="n"/>
      <c r="O862" s="22">
        <f>IF(OR($M862="",$M862="OK"),"",$L862+ROW()/100000)</f>
        <v/>
      </c>
    </row>
    <row r="863">
      <c r="A863" s="15" t="n"/>
      <c r="B863" s="15" t="n"/>
      <c r="C863" s="16">
        <f>IF($B863="","",IFERROR(INDEX('Intervals'!$B$4:$B$33,MATCH($B863,'Intervals'!$A$4:$A$33,0)),""))</f>
        <v/>
      </c>
      <c r="D863" s="17" t="n"/>
      <c r="E863" s="18" t="n"/>
      <c r="F863" s="19">
        <f>IF(OR($B863="",$E863=""),"",IFERROR(IF(AND(INDEX('Intervals'!$G$4:$G$33,MATCH($B863,'Intervals'!$A$4:$A$33,0))&lt;&gt;"No",N(INDEX('Intervals'!$C$4:$C$33,MATCH($B863,'Intervals'!$A$4:$A$33,0)))&gt;0),$E863+N(INDEX('Intervals'!$C$4:$C$33,MATCH($B863,'Intervals'!$A$4:$A$33,0))),""),""))</f>
        <v/>
      </c>
      <c r="G863" s="20">
        <f>IF(OR($B863="",$D863=""),"",IFERROR(IF(AND(INDEX('Intervals'!$G$4:$G$33,MATCH($B863,'Intervals'!$A$4:$A$33,0))&lt;&gt;"No",N(INDEX('Intervals'!$D$4:$D$33,MATCH($B863,'Intervals'!$A$4:$A$33,0)))&gt;0),EDATE($D863,N(INDEX('Intervals'!$D$4:$D$33,MATCH($B863,'Intervals'!$A$4:$A$33,0)))),""),""))</f>
        <v/>
      </c>
      <c r="H863" s="19">
        <f>IF($A863="","",IFERROR(IF(N(INDEX('Cars'!$H$4:$H$103,MATCH($A863,'Cars'!$A$4:$A$103,0)))&gt;0,INDEX('Cars'!$H$4:$H$103,MATCH($A863,'Cars'!$A$4:$A$103,0)),""),""))</f>
        <v/>
      </c>
      <c r="I863" s="19">
        <f>IF(OR($F863="",$H863=""),"",$F863-$H863)</f>
        <v/>
      </c>
      <c r="J863" s="21">
        <f>IF($G863="","",$G863-TODAY())</f>
        <v/>
      </c>
      <c r="K863" s="21">
        <f>IF($I863="","",IFERROR(IF(N(INDEX('Cars'!$J$4:$J$103,MATCH($A863,'Cars'!$A$4:$A$103,0)))&gt;0,ROUND($I863/INDEX('Cars'!$J$4:$J$103,MATCH($A863,'Cars'!$A$4:$A$103,0))*30,0),""),""))</f>
        <v/>
      </c>
      <c r="L863" s="21">
        <f>IF(AND($J863="",$K863=""),"",MIN(IF($J863="",99999,$J863),IF($K863="",99999,$K863)))</f>
        <v/>
      </c>
      <c r="M863" s="16">
        <f>IF(AND($I863="",$J863=""),"",IF(OR(AND($I863&lt;&gt;"",N($I863)&lt;0),AND($J863&lt;&gt;"",N($J863)&lt;0)),"Overdue",IF(OR(AND($I863&lt;&gt;"",N($I863)&lt;=IFERROR(INDEX('Intervals'!$E$4:$E$33,MATCH($B863,'Intervals'!$A$4:$A$33,0)),500)),AND($J863&lt;&gt;"",N($J863)&lt;=IFERROR(INDEX('Intervals'!$F$4:$F$33,MATCH($B863,'Intervals'!$A$4:$A$33,0)),14))),"Due soon","OK")))</f>
        <v/>
      </c>
      <c r="N863" s="15" t="n"/>
      <c r="O863" s="22">
        <f>IF(OR($M863="",$M863="OK"),"",$L863+ROW()/100000)</f>
        <v/>
      </c>
    </row>
    <row r="864">
      <c r="A864" s="15" t="n"/>
      <c r="B864" s="15" t="n"/>
      <c r="C864" s="16">
        <f>IF($B864="","",IFERROR(INDEX('Intervals'!$B$4:$B$33,MATCH($B864,'Intervals'!$A$4:$A$33,0)),""))</f>
        <v/>
      </c>
      <c r="D864" s="17" t="n"/>
      <c r="E864" s="18" t="n"/>
      <c r="F864" s="19">
        <f>IF(OR($B864="",$E864=""),"",IFERROR(IF(AND(INDEX('Intervals'!$G$4:$G$33,MATCH($B864,'Intervals'!$A$4:$A$33,0))&lt;&gt;"No",N(INDEX('Intervals'!$C$4:$C$33,MATCH($B864,'Intervals'!$A$4:$A$33,0)))&gt;0),$E864+N(INDEX('Intervals'!$C$4:$C$33,MATCH($B864,'Intervals'!$A$4:$A$33,0))),""),""))</f>
        <v/>
      </c>
      <c r="G864" s="20">
        <f>IF(OR($B864="",$D864=""),"",IFERROR(IF(AND(INDEX('Intervals'!$G$4:$G$33,MATCH($B864,'Intervals'!$A$4:$A$33,0))&lt;&gt;"No",N(INDEX('Intervals'!$D$4:$D$33,MATCH($B864,'Intervals'!$A$4:$A$33,0)))&gt;0),EDATE($D864,N(INDEX('Intervals'!$D$4:$D$33,MATCH($B864,'Intervals'!$A$4:$A$33,0)))),""),""))</f>
        <v/>
      </c>
      <c r="H864" s="19">
        <f>IF($A864="","",IFERROR(IF(N(INDEX('Cars'!$H$4:$H$103,MATCH($A864,'Cars'!$A$4:$A$103,0)))&gt;0,INDEX('Cars'!$H$4:$H$103,MATCH($A864,'Cars'!$A$4:$A$103,0)),""),""))</f>
        <v/>
      </c>
      <c r="I864" s="19">
        <f>IF(OR($F864="",$H864=""),"",$F864-$H864)</f>
        <v/>
      </c>
      <c r="J864" s="21">
        <f>IF($G864="","",$G864-TODAY())</f>
        <v/>
      </c>
      <c r="K864" s="21">
        <f>IF($I864="","",IFERROR(IF(N(INDEX('Cars'!$J$4:$J$103,MATCH($A864,'Cars'!$A$4:$A$103,0)))&gt;0,ROUND($I864/INDEX('Cars'!$J$4:$J$103,MATCH($A864,'Cars'!$A$4:$A$103,0))*30,0),""),""))</f>
        <v/>
      </c>
      <c r="L864" s="21">
        <f>IF(AND($J864="",$K864=""),"",MIN(IF($J864="",99999,$J864),IF($K864="",99999,$K864)))</f>
        <v/>
      </c>
      <c r="M864" s="16">
        <f>IF(AND($I864="",$J864=""),"",IF(OR(AND($I864&lt;&gt;"",N($I864)&lt;0),AND($J864&lt;&gt;"",N($J864)&lt;0)),"Overdue",IF(OR(AND($I864&lt;&gt;"",N($I864)&lt;=IFERROR(INDEX('Intervals'!$E$4:$E$33,MATCH($B864,'Intervals'!$A$4:$A$33,0)),500)),AND($J864&lt;&gt;"",N($J864)&lt;=IFERROR(INDEX('Intervals'!$F$4:$F$33,MATCH($B864,'Intervals'!$A$4:$A$33,0)),14))),"Due soon","OK")))</f>
        <v/>
      </c>
      <c r="N864" s="15" t="n"/>
      <c r="O864" s="22">
        <f>IF(OR($M864="",$M864="OK"),"",$L864+ROW()/100000)</f>
        <v/>
      </c>
    </row>
    <row r="865">
      <c r="A865" s="15" t="n"/>
      <c r="B865" s="15" t="n"/>
      <c r="C865" s="16">
        <f>IF($B865="","",IFERROR(INDEX('Intervals'!$B$4:$B$33,MATCH($B865,'Intervals'!$A$4:$A$33,0)),""))</f>
        <v/>
      </c>
      <c r="D865" s="17" t="n"/>
      <c r="E865" s="18" t="n"/>
      <c r="F865" s="19">
        <f>IF(OR($B865="",$E865=""),"",IFERROR(IF(AND(INDEX('Intervals'!$G$4:$G$33,MATCH($B865,'Intervals'!$A$4:$A$33,0))&lt;&gt;"No",N(INDEX('Intervals'!$C$4:$C$33,MATCH($B865,'Intervals'!$A$4:$A$33,0)))&gt;0),$E865+N(INDEX('Intervals'!$C$4:$C$33,MATCH($B865,'Intervals'!$A$4:$A$33,0))),""),""))</f>
        <v/>
      </c>
      <c r="G865" s="20">
        <f>IF(OR($B865="",$D865=""),"",IFERROR(IF(AND(INDEX('Intervals'!$G$4:$G$33,MATCH($B865,'Intervals'!$A$4:$A$33,0))&lt;&gt;"No",N(INDEX('Intervals'!$D$4:$D$33,MATCH($B865,'Intervals'!$A$4:$A$33,0)))&gt;0),EDATE($D865,N(INDEX('Intervals'!$D$4:$D$33,MATCH($B865,'Intervals'!$A$4:$A$33,0)))),""),""))</f>
        <v/>
      </c>
      <c r="H865" s="19">
        <f>IF($A865="","",IFERROR(IF(N(INDEX('Cars'!$H$4:$H$103,MATCH($A865,'Cars'!$A$4:$A$103,0)))&gt;0,INDEX('Cars'!$H$4:$H$103,MATCH($A865,'Cars'!$A$4:$A$103,0)),""),""))</f>
        <v/>
      </c>
      <c r="I865" s="19">
        <f>IF(OR($F865="",$H865=""),"",$F865-$H865)</f>
        <v/>
      </c>
      <c r="J865" s="21">
        <f>IF($G865="","",$G865-TODAY())</f>
        <v/>
      </c>
      <c r="K865" s="21">
        <f>IF($I865="","",IFERROR(IF(N(INDEX('Cars'!$J$4:$J$103,MATCH($A865,'Cars'!$A$4:$A$103,0)))&gt;0,ROUND($I865/INDEX('Cars'!$J$4:$J$103,MATCH($A865,'Cars'!$A$4:$A$103,0))*30,0),""),""))</f>
        <v/>
      </c>
      <c r="L865" s="21">
        <f>IF(AND($J865="",$K865=""),"",MIN(IF($J865="",99999,$J865),IF($K865="",99999,$K865)))</f>
        <v/>
      </c>
      <c r="M865" s="16">
        <f>IF(AND($I865="",$J865=""),"",IF(OR(AND($I865&lt;&gt;"",N($I865)&lt;0),AND($J865&lt;&gt;"",N($J865)&lt;0)),"Overdue",IF(OR(AND($I865&lt;&gt;"",N($I865)&lt;=IFERROR(INDEX('Intervals'!$E$4:$E$33,MATCH($B865,'Intervals'!$A$4:$A$33,0)),500)),AND($J865&lt;&gt;"",N($J865)&lt;=IFERROR(INDEX('Intervals'!$F$4:$F$33,MATCH($B865,'Intervals'!$A$4:$A$33,0)),14))),"Due soon","OK")))</f>
        <v/>
      </c>
      <c r="N865" s="15" t="n"/>
      <c r="O865" s="22">
        <f>IF(OR($M865="",$M865="OK"),"",$L865+ROW()/100000)</f>
        <v/>
      </c>
    </row>
    <row r="866">
      <c r="A866" s="15" t="n"/>
      <c r="B866" s="15" t="n"/>
      <c r="C866" s="16">
        <f>IF($B866="","",IFERROR(INDEX('Intervals'!$B$4:$B$33,MATCH($B866,'Intervals'!$A$4:$A$33,0)),""))</f>
        <v/>
      </c>
      <c r="D866" s="17" t="n"/>
      <c r="E866" s="18" t="n"/>
      <c r="F866" s="19">
        <f>IF(OR($B866="",$E866=""),"",IFERROR(IF(AND(INDEX('Intervals'!$G$4:$G$33,MATCH($B866,'Intervals'!$A$4:$A$33,0))&lt;&gt;"No",N(INDEX('Intervals'!$C$4:$C$33,MATCH($B866,'Intervals'!$A$4:$A$33,0)))&gt;0),$E866+N(INDEX('Intervals'!$C$4:$C$33,MATCH($B866,'Intervals'!$A$4:$A$33,0))),""),""))</f>
        <v/>
      </c>
      <c r="G866" s="20">
        <f>IF(OR($B866="",$D866=""),"",IFERROR(IF(AND(INDEX('Intervals'!$G$4:$G$33,MATCH($B866,'Intervals'!$A$4:$A$33,0))&lt;&gt;"No",N(INDEX('Intervals'!$D$4:$D$33,MATCH($B866,'Intervals'!$A$4:$A$33,0)))&gt;0),EDATE($D866,N(INDEX('Intervals'!$D$4:$D$33,MATCH($B866,'Intervals'!$A$4:$A$33,0)))),""),""))</f>
        <v/>
      </c>
      <c r="H866" s="19">
        <f>IF($A866="","",IFERROR(IF(N(INDEX('Cars'!$H$4:$H$103,MATCH($A866,'Cars'!$A$4:$A$103,0)))&gt;0,INDEX('Cars'!$H$4:$H$103,MATCH($A866,'Cars'!$A$4:$A$103,0)),""),""))</f>
        <v/>
      </c>
      <c r="I866" s="19">
        <f>IF(OR($F866="",$H866=""),"",$F866-$H866)</f>
        <v/>
      </c>
      <c r="J866" s="21">
        <f>IF($G866="","",$G866-TODAY())</f>
        <v/>
      </c>
      <c r="K866" s="21">
        <f>IF($I866="","",IFERROR(IF(N(INDEX('Cars'!$J$4:$J$103,MATCH($A866,'Cars'!$A$4:$A$103,0)))&gt;0,ROUND($I866/INDEX('Cars'!$J$4:$J$103,MATCH($A866,'Cars'!$A$4:$A$103,0))*30,0),""),""))</f>
        <v/>
      </c>
      <c r="L866" s="21">
        <f>IF(AND($J866="",$K866=""),"",MIN(IF($J866="",99999,$J866),IF($K866="",99999,$K866)))</f>
        <v/>
      </c>
      <c r="M866" s="16">
        <f>IF(AND($I866="",$J866=""),"",IF(OR(AND($I866&lt;&gt;"",N($I866)&lt;0),AND($J866&lt;&gt;"",N($J866)&lt;0)),"Overdue",IF(OR(AND($I866&lt;&gt;"",N($I866)&lt;=IFERROR(INDEX('Intervals'!$E$4:$E$33,MATCH($B866,'Intervals'!$A$4:$A$33,0)),500)),AND($J866&lt;&gt;"",N($J866)&lt;=IFERROR(INDEX('Intervals'!$F$4:$F$33,MATCH($B866,'Intervals'!$A$4:$A$33,0)),14))),"Due soon","OK")))</f>
        <v/>
      </c>
      <c r="N866" s="15" t="n"/>
      <c r="O866" s="22">
        <f>IF(OR($M866="",$M866="OK"),"",$L866+ROW()/100000)</f>
        <v/>
      </c>
    </row>
    <row r="867">
      <c r="A867" s="15" t="n"/>
      <c r="B867" s="15" t="n"/>
      <c r="C867" s="16">
        <f>IF($B867="","",IFERROR(INDEX('Intervals'!$B$4:$B$33,MATCH($B867,'Intervals'!$A$4:$A$33,0)),""))</f>
        <v/>
      </c>
      <c r="D867" s="17" t="n"/>
      <c r="E867" s="18" t="n"/>
      <c r="F867" s="19">
        <f>IF(OR($B867="",$E867=""),"",IFERROR(IF(AND(INDEX('Intervals'!$G$4:$G$33,MATCH($B867,'Intervals'!$A$4:$A$33,0))&lt;&gt;"No",N(INDEX('Intervals'!$C$4:$C$33,MATCH($B867,'Intervals'!$A$4:$A$33,0)))&gt;0),$E867+N(INDEX('Intervals'!$C$4:$C$33,MATCH($B867,'Intervals'!$A$4:$A$33,0))),""),""))</f>
        <v/>
      </c>
      <c r="G867" s="20">
        <f>IF(OR($B867="",$D867=""),"",IFERROR(IF(AND(INDEX('Intervals'!$G$4:$G$33,MATCH($B867,'Intervals'!$A$4:$A$33,0))&lt;&gt;"No",N(INDEX('Intervals'!$D$4:$D$33,MATCH($B867,'Intervals'!$A$4:$A$33,0)))&gt;0),EDATE($D867,N(INDEX('Intervals'!$D$4:$D$33,MATCH($B867,'Intervals'!$A$4:$A$33,0)))),""),""))</f>
        <v/>
      </c>
      <c r="H867" s="19">
        <f>IF($A867="","",IFERROR(IF(N(INDEX('Cars'!$H$4:$H$103,MATCH($A867,'Cars'!$A$4:$A$103,0)))&gt;0,INDEX('Cars'!$H$4:$H$103,MATCH($A867,'Cars'!$A$4:$A$103,0)),""),""))</f>
        <v/>
      </c>
      <c r="I867" s="19">
        <f>IF(OR($F867="",$H867=""),"",$F867-$H867)</f>
        <v/>
      </c>
      <c r="J867" s="21">
        <f>IF($G867="","",$G867-TODAY())</f>
        <v/>
      </c>
      <c r="K867" s="21">
        <f>IF($I867="","",IFERROR(IF(N(INDEX('Cars'!$J$4:$J$103,MATCH($A867,'Cars'!$A$4:$A$103,0)))&gt;0,ROUND($I867/INDEX('Cars'!$J$4:$J$103,MATCH($A867,'Cars'!$A$4:$A$103,0))*30,0),""),""))</f>
        <v/>
      </c>
      <c r="L867" s="21">
        <f>IF(AND($J867="",$K867=""),"",MIN(IF($J867="",99999,$J867),IF($K867="",99999,$K867)))</f>
        <v/>
      </c>
      <c r="M867" s="16">
        <f>IF(AND($I867="",$J867=""),"",IF(OR(AND($I867&lt;&gt;"",N($I867)&lt;0),AND($J867&lt;&gt;"",N($J867)&lt;0)),"Overdue",IF(OR(AND($I867&lt;&gt;"",N($I867)&lt;=IFERROR(INDEX('Intervals'!$E$4:$E$33,MATCH($B867,'Intervals'!$A$4:$A$33,0)),500)),AND($J867&lt;&gt;"",N($J867)&lt;=IFERROR(INDEX('Intervals'!$F$4:$F$33,MATCH($B867,'Intervals'!$A$4:$A$33,0)),14))),"Due soon","OK")))</f>
        <v/>
      </c>
      <c r="N867" s="15" t="n"/>
      <c r="O867" s="22">
        <f>IF(OR($M867="",$M867="OK"),"",$L867+ROW()/100000)</f>
        <v/>
      </c>
    </row>
    <row r="868">
      <c r="A868" s="15" t="n"/>
      <c r="B868" s="15" t="n"/>
      <c r="C868" s="16">
        <f>IF($B868="","",IFERROR(INDEX('Intervals'!$B$4:$B$33,MATCH($B868,'Intervals'!$A$4:$A$33,0)),""))</f>
        <v/>
      </c>
      <c r="D868" s="17" t="n"/>
      <c r="E868" s="18" t="n"/>
      <c r="F868" s="19">
        <f>IF(OR($B868="",$E868=""),"",IFERROR(IF(AND(INDEX('Intervals'!$G$4:$G$33,MATCH($B868,'Intervals'!$A$4:$A$33,0))&lt;&gt;"No",N(INDEX('Intervals'!$C$4:$C$33,MATCH($B868,'Intervals'!$A$4:$A$33,0)))&gt;0),$E868+N(INDEX('Intervals'!$C$4:$C$33,MATCH($B868,'Intervals'!$A$4:$A$33,0))),""),""))</f>
        <v/>
      </c>
      <c r="G868" s="20">
        <f>IF(OR($B868="",$D868=""),"",IFERROR(IF(AND(INDEX('Intervals'!$G$4:$G$33,MATCH($B868,'Intervals'!$A$4:$A$33,0))&lt;&gt;"No",N(INDEX('Intervals'!$D$4:$D$33,MATCH($B868,'Intervals'!$A$4:$A$33,0)))&gt;0),EDATE($D868,N(INDEX('Intervals'!$D$4:$D$33,MATCH($B868,'Intervals'!$A$4:$A$33,0)))),""),""))</f>
        <v/>
      </c>
      <c r="H868" s="19">
        <f>IF($A868="","",IFERROR(IF(N(INDEX('Cars'!$H$4:$H$103,MATCH($A868,'Cars'!$A$4:$A$103,0)))&gt;0,INDEX('Cars'!$H$4:$H$103,MATCH($A868,'Cars'!$A$4:$A$103,0)),""),""))</f>
        <v/>
      </c>
      <c r="I868" s="19">
        <f>IF(OR($F868="",$H868=""),"",$F868-$H868)</f>
        <v/>
      </c>
      <c r="J868" s="21">
        <f>IF($G868="","",$G868-TODAY())</f>
        <v/>
      </c>
      <c r="K868" s="21">
        <f>IF($I868="","",IFERROR(IF(N(INDEX('Cars'!$J$4:$J$103,MATCH($A868,'Cars'!$A$4:$A$103,0)))&gt;0,ROUND($I868/INDEX('Cars'!$J$4:$J$103,MATCH($A868,'Cars'!$A$4:$A$103,0))*30,0),""),""))</f>
        <v/>
      </c>
      <c r="L868" s="21">
        <f>IF(AND($J868="",$K868=""),"",MIN(IF($J868="",99999,$J868),IF($K868="",99999,$K868)))</f>
        <v/>
      </c>
      <c r="M868" s="16">
        <f>IF(AND($I868="",$J868=""),"",IF(OR(AND($I868&lt;&gt;"",N($I868)&lt;0),AND($J868&lt;&gt;"",N($J868)&lt;0)),"Overdue",IF(OR(AND($I868&lt;&gt;"",N($I868)&lt;=IFERROR(INDEX('Intervals'!$E$4:$E$33,MATCH($B868,'Intervals'!$A$4:$A$33,0)),500)),AND($J868&lt;&gt;"",N($J868)&lt;=IFERROR(INDEX('Intervals'!$F$4:$F$33,MATCH($B868,'Intervals'!$A$4:$A$33,0)),14))),"Due soon","OK")))</f>
        <v/>
      </c>
      <c r="N868" s="15" t="n"/>
      <c r="O868" s="22">
        <f>IF(OR($M868="",$M868="OK"),"",$L868+ROW()/100000)</f>
        <v/>
      </c>
    </row>
    <row r="869">
      <c r="A869" s="15" t="n"/>
      <c r="B869" s="15" t="n"/>
      <c r="C869" s="16">
        <f>IF($B869="","",IFERROR(INDEX('Intervals'!$B$4:$B$33,MATCH($B869,'Intervals'!$A$4:$A$33,0)),""))</f>
        <v/>
      </c>
      <c r="D869" s="17" t="n"/>
      <c r="E869" s="18" t="n"/>
      <c r="F869" s="19">
        <f>IF(OR($B869="",$E869=""),"",IFERROR(IF(AND(INDEX('Intervals'!$G$4:$G$33,MATCH($B869,'Intervals'!$A$4:$A$33,0))&lt;&gt;"No",N(INDEX('Intervals'!$C$4:$C$33,MATCH($B869,'Intervals'!$A$4:$A$33,0)))&gt;0),$E869+N(INDEX('Intervals'!$C$4:$C$33,MATCH($B869,'Intervals'!$A$4:$A$33,0))),""),""))</f>
        <v/>
      </c>
      <c r="G869" s="20">
        <f>IF(OR($B869="",$D869=""),"",IFERROR(IF(AND(INDEX('Intervals'!$G$4:$G$33,MATCH($B869,'Intervals'!$A$4:$A$33,0))&lt;&gt;"No",N(INDEX('Intervals'!$D$4:$D$33,MATCH($B869,'Intervals'!$A$4:$A$33,0)))&gt;0),EDATE($D869,N(INDEX('Intervals'!$D$4:$D$33,MATCH($B869,'Intervals'!$A$4:$A$33,0)))),""),""))</f>
        <v/>
      </c>
      <c r="H869" s="19">
        <f>IF($A869="","",IFERROR(IF(N(INDEX('Cars'!$H$4:$H$103,MATCH($A869,'Cars'!$A$4:$A$103,0)))&gt;0,INDEX('Cars'!$H$4:$H$103,MATCH($A869,'Cars'!$A$4:$A$103,0)),""),""))</f>
        <v/>
      </c>
      <c r="I869" s="19">
        <f>IF(OR($F869="",$H869=""),"",$F869-$H869)</f>
        <v/>
      </c>
      <c r="J869" s="21">
        <f>IF($G869="","",$G869-TODAY())</f>
        <v/>
      </c>
      <c r="K869" s="21">
        <f>IF($I869="","",IFERROR(IF(N(INDEX('Cars'!$J$4:$J$103,MATCH($A869,'Cars'!$A$4:$A$103,0)))&gt;0,ROUND($I869/INDEX('Cars'!$J$4:$J$103,MATCH($A869,'Cars'!$A$4:$A$103,0))*30,0),""),""))</f>
        <v/>
      </c>
      <c r="L869" s="21">
        <f>IF(AND($J869="",$K869=""),"",MIN(IF($J869="",99999,$J869),IF($K869="",99999,$K869)))</f>
        <v/>
      </c>
      <c r="M869" s="16">
        <f>IF(AND($I869="",$J869=""),"",IF(OR(AND($I869&lt;&gt;"",N($I869)&lt;0),AND($J869&lt;&gt;"",N($J869)&lt;0)),"Overdue",IF(OR(AND($I869&lt;&gt;"",N($I869)&lt;=IFERROR(INDEX('Intervals'!$E$4:$E$33,MATCH($B869,'Intervals'!$A$4:$A$33,0)),500)),AND($J869&lt;&gt;"",N($J869)&lt;=IFERROR(INDEX('Intervals'!$F$4:$F$33,MATCH($B869,'Intervals'!$A$4:$A$33,0)),14))),"Due soon","OK")))</f>
        <v/>
      </c>
      <c r="N869" s="15" t="n"/>
      <c r="O869" s="22">
        <f>IF(OR($M869="",$M869="OK"),"",$L869+ROW()/100000)</f>
        <v/>
      </c>
    </row>
    <row r="870">
      <c r="A870" s="15" t="n"/>
      <c r="B870" s="15" t="n"/>
      <c r="C870" s="16">
        <f>IF($B870="","",IFERROR(INDEX('Intervals'!$B$4:$B$33,MATCH($B870,'Intervals'!$A$4:$A$33,0)),""))</f>
        <v/>
      </c>
      <c r="D870" s="17" t="n"/>
      <c r="E870" s="18" t="n"/>
      <c r="F870" s="19">
        <f>IF(OR($B870="",$E870=""),"",IFERROR(IF(AND(INDEX('Intervals'!$G$4:$G$33,MATCH($B870,'Intervals'!$A$4:$A$33,0))&lt;&gt;"No",N(INDEX('Intervals'!$C$4:$C$33,MATCH($B870,'Intervals'!$A$4:$A$33,0)))&gt;0),$E870+N(INDEX('Intervals'!$C$4:$C$33,MATCH($B870,'Intervals'!$A$4:$A$33,0))),""),""))</f>
        <v/>
      </c>
      <c r="G870" s="20">
        <f>IF(OR($B870="",$D870=""),"",IFERROR(IF(AND(INDEX('Intervals'!$G$4:$G$33,MATCH($B870,'Intervals'!$A$4:$A$33,0))&lt;&gt;"No",N(INDEX('Intervals'!$D$4:$D$33,MATCH($B870,'Intervals'!$A$4:$A$33,0)))&gt;0),EDATE($D870,N(INDEX('Intervals'!$D$4:$D$33,MATCH($B870,'Intervals'!$A$4:$A$33,0)))),""),""))</f>
        <v/>
      </c>
      <c r="H870" s="19">
        <f>IF($A870="","",IFERROR(IF(N(INDEX('Cars'!$H$4:$H$103,MATCH($A870,'Cars'!$A$4:$A$103,0)))&gt;0,INDEX('Cars'!$H$4:$H$103,MATCH($A870,'Cars'!$A$4:$A$103,0)),""),""))</f>
        <v/>
      </c>
      <c r="I870" s="19">
        <f>IF(OR($F870="",$H870=""),"",$F870-$H870)</f>
        <v/>
      </c>
      <c r="J870" s="21">
        <f>IF($G870="","",$G870-TODAY())</f>
        <v/>
      </c>
      <c r="K870" s="21">
        <f>IF($I870="","",IFERROR(IF(N(INDEX('Cars'!$J$4:$J$103,MATCH($A870,'Cars'!$A$4:$A$103,0)))&gt;0,ROUND($I870/INDEX('Cars'!$J$4:$J$103,MATCH($A870,'Cars'!$A$4:$A$103,0))*30,0),""),""))</f>
        <v/>
      </c>
      <c r="L870" s="21">
        <f>IF(AND($J870="",$K870=""),"",MIN(IF($J870="",99999,$J870),IF($K870="",99999,$K870)))</f>
        <v/>
      </c>
      <c r="M870" s="16">
        <f>IF(AND($I870="",$J870=""),"",IF(OR(AND($I870&lt;&gt;"",N($I870)&lt;0),AND($J870&lt;&gt;"",N($J870)&lt;0)),"Overdue",IF(OR(AND($I870&lt;&gt;"",N($I870)&lt;=IFERROR(INDEX('Intervals'!$E$4:$E$33,MATCH($B870,'Intervals'!$A$4:$A$33,0)),500)),AND($J870&lt;&gt;"",N($J870)&lt;=IFERROR(INDEX('Intervals'!$F$4:$F$33,MATCH($B870,'Intervals'!$A$4:$A$33,0)),14))),"Due soon","OK")))</f>
        <v/>
      </c>
      <c r="N870" s="15" t="n"/>
      <c r="O870" s="22">
        <f>IF(OR($M870="",$M870="OK"),"",$L870+ROW()/100000)</f>
        <v/>
      </c>
    </row>
    <row r="871">
      <c r="A871" s="15" t="n"/>
      <c r="B871" s="15" t="n"/>
      <c r="C871" s="16">
        <f>IF($B871="","",IFERROR(INDEX('Intervals'!$B$4:$B$33,MATCH($B871,'Intervals'!$A$4:$A$33,0)),""))</f>
        <v/>
      </c>
      <c r="D871" s="17" t="n"/>
      <c r="E871" s="18" t="n"/>
      <c r="F871" s="19">
        <f>IF(OR($B871="",$E871=""),"",IFERROR(IF(AND(INDEX('Intervals'!$G$4:$G$33,MATCH($B871,'Intervals'!$A$4:$A$33,0))&lt;&gt;"No",N(INDEX('Intervals'!$C$4:$C$33,MATCH($B871,'Intervals'!$A$4:$A$33,0)))&gt;0),$E871+N(INDEX('Intervals'!$C$4:$C$33,MATCH($B871,'Intervals'!$A$4:$A$33,0))),""),""))</f>
        <v/>
      </c>
      <c r="G871" s="20">
        <f>IF(OR($B871="",$D871=""),"",IFERROR(IF(AND(INDEX('Intervals'!$G$4:$G$33,MATCH($B871,'Intervals'!$A$4:$A$33,0))&lt;&gt;"No",N(INDEX('Intervals'!$D$4:$D$33,MATCH($B871,'Intervals'!$A$4:$A$33,0)))&gt;0),EDATE($D871,N(INDEX('Intervals'!$D$4:$D$33,MATCH($B871,'Intervals'!$A$4:$A$33,0)))),""),""))</f>
        <v/>
      </c>
      <c r="H871" s="19">
        <f>IF($A871="","",IFERROR(IF(N(INDEX('Cars'!$H$4:$H$103,MATCH($A871,'Cars'!$A$4:$A$103,0)))&gt;0,INDEX('Cars'!$H$4:$H$103,MATCH($A871,'Cars'!$A$4:$A$103,0)),""),""))</f>
        <v/>
      </c>
      <c r="I871" s="19">
        <f>IF(OR($F871="",$H871=""),"",$F871-$H871)</f>
        <v/>
      </c>
      <c r="J871" s="21">
        <f>IF($G871="","",$G871-TODAY())</f>
        <v/>
      </c>
      <c r="K871" s="21">
        <f>IF($I871="","",IFERROR(IF(N(INDEX('Cars'!$J$4:$J$103,MATCH($A871,'Cars'!$A$4:$A$103,0)))&gt;0,ROUND($I871/INDEX('Cars'!$J$4:$J$103,MATCH($A871,'Cars'!$A$4:$A$103,0))*30,0),""),""))</f>
        <v/>
      </c>
      <c r="L871" s="21">
        <f>IF(AND($J871="",$K871=""),"",MIN(IF($J871="",99999,$J871),IF($K871="",99999,$K871)))</f>
        <v/>
      </c>
      <c r="M871" s="16">
        <f>IF(AND($I871="",$J871=""),"",IF(OR(AND($I871&lt;&gt;"",N($I871)&lt;0),AND($J871&lt;&gt;"",N($J871)&lt;0)),"Overdue",IF(OR(AND($I871&lt;&gt;"",N($I871)&lt;=IFERROR(INDEX('Intervals'!$E$4:$E$33,MATCH($B871,'Intervals'!$A$4:$A$33,0)),500)),AND($J871&lt;&gt;"",N($J871)&lt;=IFERROR(INDEX('Intervals'!$F$4:$F$33,MATCH($B871,'Intervals'!$A$4:$A$33,0)),14))),"Due soon","OK")))</f>
        <v/>
      </c>
      <c r="N871" s="15" t="n"/>
      <c r="O871" s="22">
        <f>IF(OR($M871="",$M871="OK"),"",$L871+ROW()/100000)</f>
        <v/>
      </c>
    </row>
    <row r="872">
      <c r="A872" s="15" t="n"/>
      <c r="B872" s="15" t="n"/>
      <c r="C872" s="16">
        <f>IF($B872="","",IFERROR(INDEX('Intervals'!$B$4:$B$33,MATCH($B872,'Intervals'!$A$4:$A$33,0)),""))</f>
        <v/>
      </c>
      <c r="D872" s="17" t="n"/>
      <c r="E872" s="18" t="n"/>
      <c r="F872" s="19">
        <f>IF(OR($B872="",$E872=""),"",IFERROR(IF(AND(INDEX('Intervals'!$G$4:$G$33,MATCH($B872,'Intervals'!$A$4:$A$33,0))&lt;&gt;"No",N(INDEX('Intervals'!$C$4:$C$33,MATCH($B872,'Intervals'!$A$4:$A$33,0)))&gt;0),$E872+N(INDEX('Intervals'!$C$4:$C$33,MATCH($B872,'Intervals'!$A$4:$A$33,0))),""),""))</f>
        <v/>
      </c>
      <c r="G872" s="20">
        <f>IF(OR($B872="",$D872=""),"",IFERROR(IF(AND(INDEX('Intervals'!$G$4:$G$33,MATCH($B872,'Intervals'!$A$4:$A$33,0))&lt;&gt;"No",N(INDEX('Intervals'!$D$4:$D$33,MATCH($B872,'Intervals'!$A$4:$A$33,0)))&gt;0),EDATE($D872,N(INDEX('Intervals'!$D$4:$D$33,MATCH($B872,'Intervals'!$A$4:$A$33,0)))),""),""))</f>
        <v/>
      </c>
      <c r="H872" s="19">
        <f>IF($A872="","",IFERROR(IF(N(INDEX('Cars'!$H$4:$H$103,MATCH($A872,'Cars'!$A$4:$A$103,0)))&gt;0,INDEX('Cars'!$H$4:$H$103,MATCH($A872,'Cars'!$A$4:$A$103,0)),""),""))</f>
        <v/>
      </c>
      <c r="I872" s="19">
        <f>IF(OR($F872="",$H872=""),"",$F872-$H872)</f>
        <v/>
      </c>
      <c r="J872" s="21">
        <f>IF($G872="","",$G872-TODAY())</f>
        <v/>
      </c>
      <c r="K872" s="21">
        <f>IF($I872="","",IFERROR(IF(N(INDEX('Cars'!$J$4:$J$103,MATCH($A872,'Cars'!$A$4:$A$103,0)))&gt;0,ROUND($I872/INDEX('Cars'!$J$4:$J$103,MATCH($A872,'Cars'!$A$4:$A$103,0))*30,0),""),""))</f>
        <v/>
      </c>
      <c r="L872" s="21">
        <f>IF(AND($J872="",$K872=""),"",MIN(IF($J872="",99999,$J872),IF($K872="",99999,$K872)))</f>
        <v/>
      </c>
      <c r="M872" s="16">
        <f>IF(AND($I872="",$J872=""),"",IF(OR(AND($I872&lt;&gt;"",N($I872)&lt;0),AND($J872&lt;&gt;"",N($J872)&lt;0)),"Overdue",IF(OR(AND($I872&lt;&gt;"",N($I872)&lt;=IFERROR(INDEX('Intervals'!$E$4:$E$33,MATCH($B872,'Intervals'!$A$4:$A$33,0)),500)),AND($J872&lt;&gt;"",N($J872)&lt;=IFERROR(INDEX('Intervals'!$F$4:$F$33,MATCH($B872,'Intervals'!$A$4:$A$33,0)),14))),"Due soon","OK")))</f>
        <v/>
      </c>
      <c r="N872" s="15" t="n"/>
      <c r="O872" s="22">
        <f>IF(OR($M872="",$M872="OK"),"",$L872+ROW()/100000)</f>
        <v/>
      </c>
    </row>
    <row r="873">
      <c r="A873" s="15" t="n"/>
      <c r="B873" s="15" t="n"/>
      <c r="C873" s="16">
        <f>IF($B873="","",IFERROR(INDEX('Intervals'!$B$4:$B$33,MATCH($B873,'Intervals'!$A$4:$A$33,0)),""))</f>
        <v/>
      </c>
      <c r="D873" s="17" t="n"/>
      <c r="E873" s="18" t="n"/>
      <c r="F873" s="19">
        <f>IF(OR($B873="",$E873=""),"",IFERROR(IF(AND(INDEX('Intervals'!$G$4:$G$33,MATCH($B873,'Intervals'!$A$4:$A$33,0))&lt;&gt;"No",N(INDEX('Intervals'!$C$4:$C$33,MATCH($B873,'Intervals'!$A$4:$A$33,0)))&gt;0),$E873+N(INDEX('Intervals'!$C$4:$C$33,MATCH($B873,'Intervals'!$A$4:$A$33,0))),""),""))</f>
        <v/>
      </c>
      <c r="G873" s="20">
        <f>IF(OR($B873="",$D873=""),"",IFERROR(IF(AND(INDEX('Intervals'!$G$4:$G$33,MATCH($B873,'Intervals'!$A$4:$A$33,0))&lt;&gt;"No",N(INDEX('Intervals'!$D$4:$D$33,MATCH($B873,'Intervals'!$A$4:$A$33,0)))&gt;0),EDATE($D873,N(INDEX('Intervals'!$D$4:$D$33,MATCH($B873,'Intervals'!$A$4:$A$33,0)))),""),""))</f>
        <v/>
      </c>
      <c r="H873" s="19">
        <f>IF($A873="","",IFERROR(IF(N(INDEX('Cars'!$H$4:$H$103,MATCH($A873,'Cars'!$A$4:$A$103,0)))&gt;0,INDEX('Cars'!$H$4:$H$103,MATCH($A873,'Cars'!$A$4:$A$103,0)),""),""))</f>
        <v/>
      </c>
      <c r="I873" s="19">
        <f>IF(OR($F873="",$H873=""),"",$F873-$H873)</f>
        <v/>
      </c>
      <c r="J873" s="21">
        <f>IF($G873="","",$G873-TODAY())</f>
        <v/>
      </c>
      <c r="K873" s="21">
        <f>IF($I873="","",IFERROR(IF(N(INDEX('Cars'!$J$4:$J$103,MATCH($A873,'Cars'!$A$4:$A$103,0)))&gt;0,ROUND($I873/INDEX('Cars'!$J$4:$J$103,MATCH($A873,'Cars'!$A$4:$A$103,0))*30,0),""),""))</f>
        <v/>
      </c>
      <c r="L873" s="21">
        <f>IF(AND($J873="",$K873=""),"",MIN(IF($J873="",99999,$J873),IF($K873="",99999,$K873)))</f>
        <v/>
      </c>
      <c r="M873" s="16">
        <f>IF(AND($I873="",$J873=""),"",IF(OR(AND($I873&lt;&gt;"",N($I873)&lt;0),AND($J873&lt;&gt;"",N($J873)&lt;0)),"Overdue",IF(OR(AND($I873&lt;&gt;"",N($I873)&lt;=IFERROR(INDEX('Intervals'!$E$4:$E$33,MATCH($B873,'Intervals'!$A$4:$A$33,0)),500)),AND($J873&lt;&gt;"",N($J873)&lt;=IFERROR(INDEX('Intervals'!$F$4:$F$33,MATCH($B873,'Intervals'!$A$4:$A$33,0)),14))),"Due soon","OK")))</f>
        <v/>
      </c>
      <c r="N873" s="15" t="n"/>
      <c r="O873" s="22">
        <f>IF(OR($M873="",$M873="OK"),"",$L873+ROW()/100000)</f>
        <v/>
      </c>
    </row>
    <row r="874">
      <c r="A874" s="15" t="n"/>
      <c r="B874" s="15" t="n"/>
      <c r="C874" s="16">
        <f>IF($B874="","",IFERROR(INDEX('Intervals'!$B$4:$B$33,MATCH($B874,'Intervals'!$A$4:$A$33,0)),""))</f>
        <v/>
      </c>
      <c r="D874" s="17" t="n"/>
      <c r="E874" s="18" t="n"/>
      <c r="F874" s="19">
        <f>IF(OR($B874="",$E874=""),"",IFERROR(IF(AND(INDEX('Intervals'!$G$4:$G$33,MATCH($B874,'Intervals'!$A$4:$A$33,0))&lt;&gt;"No",N(INDEX('Intervals'!$C$4:$C$33,MATCH($B874,'Intervals'!$A$4:$A$33,0)))&gt;0),$E874+N(INDEX('Intervals'!$C$4:$C$33,MATCH($B874,'Intervals'!$A$4:$A$33,0))),""),""))</f>
        <v/>
      </c>
      <c r="G874" s="20">
        <f>IF(OR($B874="",$D874=""),"",IFERROR(IF(AND(INDEX('Intervals'!$G$4:$G$33,MATCH($B874,'Intervals'!$A$4:$A$33,0))&lt;&gt;"No",N(INDEX('Intervals'!$D$4:$D$33,MATCH($B874,'Intervals'!$A$4:$A$33,0)))&gt;0),EDATE($D874,N(INDEX('Intervals'!$D$4:$D$33,MATCH($B874,'Intervals'!$A$4:$A$33,0)))),""),""))</f>
        <v/>
      </c>
      <c r="H874" s="19">
        <f>IF($A874="","",IFERROR(IF(N(INDEX('Cars'!$H$4:$H$103,MATCH($A874,'Cars'!$A$4:$A$103,0)))&gt;0,INDEX('Cars'!$H$4:$H$103,MATCH($A874,'Cars'!$A$4:$A$103,0)),""),""))</f>
        <v/>
      </c>
      <c r="I874" s="19">
        <f>IF(OR($F874="",$H874=""),"",$F874-$H874)</f>
        <v/>
      </c>
      <c r="J874" s="21">
        <f>IF($G874="","",$G874-TODAY())</f>
        <v/>
      </c>
      <c r="K874" s="21">
        <f>IF($I874="","",IFERROR(IF(N(INDEX('Cars'!$J$4:$J$103,MATCH($A874,'Cars'!$A$4:$A$103,0)))&gt;0,ROUND($I874/INDEX('Cars'!$J$4:$J$103,MATCH($A874,'Cars'!$A$4:$A$103,0))*30,0),""),""))</f>
        <v/>
      </c>
      <c r="L874" s="21">
        <f>IF(AND($J874="",$K874=""),"",MIN(IF($J874="",99999,$J874),IF($K874="",99999,$K874)))</f>
        <v/>
      </c>
      <c r="M874" s="16">
        <f>IF(AND($I874="",$J874=""),"",IF(OR(AND($I874&lt;&gt;"",N($I874)&lt;0),AND($J874&lt;&gt;"",N($J874)&lt;0)),"Overdue",IF(OR(AND($I874&lt;&gt;"",N($I874)&lt;=IFERROR(INDEX('Intervals'!$E$4:$E$33,MATCH($B874,'Intervals'!$A$4:$A$33,0)),500)),AND($J874&lt;&gt;"",N($J874)&lt;=IFERROR(INDEX('Intervals'!$F$4:$F$33,MATCH($B874,'Intervals'!$A$4:$A$33,0)),14))),"Due soon","OK")))</f>
        <v/>
      </c>
      <c r="N874" s="15" t="n"/>
      <c r="O874" s="22">
        <f>IF(OR($M874="",$M874="OK"),"",$L874+ROW()/100000)</f>
        <v/>
      </c>
    </row>
    <row r="875">
      <c r="A875" s="15" t="n"/>
      <c r="B875" s="15" t="n"/>
      <c r="C875" s="16">
        <f>IF($B875="","",IFERROR(INDEX('Intervals'!$B$4:$B$33,MATCH($B875,'Intervals'!$A$4:$A$33,0)),""))</f>
        <v/>
      </c>
      <c r="D875" s="17" t="n"/>
      <c r="E875" s="18" t="n"/>
      <c r="F875" s="19">
        <f>IF(OR($B875="",$E875=""),"",IFERROR(IF(AND(INDEX('Intervals'!$G$4:$G$33,MATCH($B875,'Intervals'!$A$4:$A$33,0))&lt;&gt;"No",N(INDEX('Intervals'!$C$4:$C$33,MATCH($B875,'Intervals'!$A$4:$A$33,0)))&gt;0),$E875+N(INDEX('Intervals'!$C$4:$C$33,MATCH($B875,'Intervals'!$A$4:$A$33,0))),""),""))</f>
        <v/>
      </c>
      <c r="G875" s="20">
        <f>IF(OR($B875="",$D875=""),"",IFERROR(IF(AND(INDEX('Intervals'!$G$4:$G$33,MATCH($B875,'Intervals'!$A$4:$A$33,0))&lt;&gt;"No",N(INDEX('Intervals'!$D$4:$D$33,MATCH($B875,'Intervals'!$A$4:$A$33,0)))&gt;0),EDATE($D875,N(INDEX('Intervals'!$D$4:$D$33,MATCH($B875,'Intervals'!$A$4:$A$33,0)))),""),""))</f>
        <v/>
      </c>
      <c r="H875" s="19">
        <f>IF($A875="","",IFERROR(IF(N(INDEX('Cars'!$H$4:$H$103,MATCH($A875,'Cars'!$A$4:$A$103,0)))&gt;0,INDEX('Cars'!$H$4:$H$103,MATCH($A875,'Cars'!$A$4:$A$103,0)),""),""))</f>
        <v/>
      </c>
      <c r="I875" s="19">
        <f>IF(OR($F875="",$H875=""),"",$F875-$H875)</f>
        <v/>
      </c>
      <c r="J875" s="21">
        <f>IF($G875="","",$G875-TODAY())</f>
        <v/>
      </c>
      <c r="K875" s="21">
        <f>IF($I875="","",IFERROR(IF(N(INDEX('Cars'!$J$4:$J$103,MATCH($A875,'Cars'!$A$4:$A$103,0)))&gt;0,ROUND($I875/INDEX('Cars'!$J$4:$J$103,MATCH($A875,'Cars'!$A$4:$A$103,0))*30,0),""),""))</f>
        <v/>
      </c>
      <c r="L875" s="21">
        <f>IF(AND($J875="",$K875=""),"",MIN(IF($J875="",99999,$J875),IF($K875="",99999,$K875)))</f>
        <v/>
      </c>
      <c r="M875" s="16">
        <f>IF(AND($I875="",$J875=""),"",IF(OR(AND($I875&lt;&gt;"",N($I875)&lt;0),AND($J875&lt;&gt;"",N($J875)&lt;0)),"Overdue",IF(OR(AND($I875&lt;&gt;"",N($I875)&lt;=IFERROR(INDEX('Intervals'!$E$4:$E$33,MATCH($B875,'Intervals'!$A$4:$A$33,0)),500)),AND($J875&lt;&gt;"",N($J875)&lt;=IFERROR(INDEX('Intervals'!$F$4:$F$33,MATCH($B875,'Intervals'!$A$4:$A$33,0)),14))),"Due soon","OK")))</f>
        <v/>
      </c>
      <c r="N875" s="15" t="n"/>
      <c r="O875" s="22">
        <f>IF(OR($M875="",$M875="OK"),"",$L875+ROW()/100000)</f>
        <v/>
      </c>
    </row>
    <row r="876">
      <c r="A876" s="15" t="n"/>
      <c r="B876" s="15" t="n"/>
      <c r="C876" s="16">
        <f>IF($B876="","",IFERROR(INDEX('Intervals'!$B$4:$B$33,MATCH($B876,'Intervals'!$A$4:$A$33,0)),""))</f>
        <v/>
      </c>
      <c r="D876" s="17" t="n"/>
      <c r="E876" s="18" t="n"/>
      <c r="F876" s="19">
        <f>IF(OR($B876="",$E876=""),"",IFERROR(IF(AND(INDEX('Intervals'!$G$4:$G$33,MATCH($B876,'Intervals'!$A$4:$A$33,0))&lt;&gt;"No",N(INDEX('Intervals'!$C$4:$C$33,MATCH($B876,'Intervals'!$A$4:$A$33,0)))&gt;0),$E876+N(INDEX('Intervals'!$C$4:$C$33,MATCH($B876,'Intervals'!$A$4:$A$33,0))),""),""))</f>
        <v/>
      </c>
      <c r="G876" s="20">
        <f>IF(OR($B876="",$D876=""),"",IFERROR(IF(AND(INDEX('Intervals'!$G$4:$G$33,MATCH($B876,'Intervals'!$A$4:$A$33,0))&lt;&gt;"No",N(INDEX('Intervals'!$D$4:$D$33,MATCH($B876,'Intervals'!$A$4:$A$33,0)))&gt;0),EDATE($D876,N(INDEX('Intervals'!$D$4:$D$33,MATCH($B876,'Intervals'!$A$4:$A$33,0)))),""),""))</f>
        <v/>
      </c>
      <c r="H876" s="19">
        <f>IF($A876="","",IFERROR(IF(N(INDEX('Cars'!$H$4:$H$103,MATCH($A876,'Cars'!$A$4:$A$103,0)))&gt;0,INDEX('Cars'!$H$4:$H$103,MATCH($A876,'Cars'!$A$4:$A$103,0)),""),""))</f>
        <v/>
      </c>
      <c r="I876" s="19">
        <f>IF(OR($F876="",$H876=""),"",$F876-$H876)</f>
        <v/>
      </c>
      <c r="J876" s="21">
        <f>IF($G876="","",$G876-TODAY())</f>
        <v/>
      </c>
      <c r="K876" s="21">
        <f>IF($I876="","",IFERROR(IF(N(INDEX('Cars'!$J$4:$J$103,MATCH($A876,'Cars'!$A$4:$A$103,0)))&gt;0,ROUND($I876/INDEX('Cars'!$J$4:$J$103,MATCH($A876,'Cars'!$A$4:$A$103,0))*30,0),""),""))</f>
        <v/>
      </c>
      <c r="L876" s="21">
        <f>IF(AND($J876="",$K876=""),"",MIN(IF($J876="",99999,$J876),IF($K876="",99999,$K876)))</f>
        <v/>
      </c>
      <c r="M876" s="16">
        <f>IF(AND($I876="",$J876=""),"",IF(OR(AND($I876&lt;&gt;"",N($I876)&lt;0),AND($J876&lt;&gt;"",N($J876)&lt;0)),"Overdue",IF(OR(AND($I876&lt;&gt;"",N($I876)&lt;=IFERROR(INDEX('Intervals'!$E$4:$E$33,MATCH($B876,'Intervals'!$A$4:$A$33,0)),500)),AND($J876&lt;&gt;"",N($J876)&lt;=IFERROR(INDEX('Intervals'!$F$4:$F$33,MATCH($B876,'Intervals'!$A$4:$A$33,0)),14))),"Due soon","OK")))</f>
        <v/>
      </c>
      <c r="N876" s="15" t="n"/>
      <c r="O876" s="22">
        <f>IF(OR($M876="",$M876="OK"),"",$L876+ROW()/100000)</f>
        <v/>
      </c>
    </row>
    <row r="877">
      <c r="A877" s="15" t="n"/>
      <c r="B877" s="15" t="n"/>
      <c r="C877" s="16">
        <f>IF($B877="","",IFERROR(INDEX('Intervals'!$B$4:$B$33,MATCH($B877,'Intervals'!$A$4:$A$33,0)),""))</f>
        <v/>
      </c>
      <c r="D877" s="17" t="n"/>
      <c r="E877" s="18" t="n"/>
      <c r="F877" s="19">
        <f>IF(OR($B877="",$E877=""),"",IFERROR(IF(AND(INDEX('Intervals'!$G$4:$G$33,MATCH($B877,'Intervals'!$A$4:$A$33,0))&lt;&gt;"No",N(INDEX('Intervals'!$C$4:$C$33,MATCH($B877,'Intervals'!$A$4:$A$33,0)))&gt;0),$E877+N(INDEX('Intervals'!$C$4:$C$33,MATCH($B877,'Intervals'!$A$4:$A$33,0))),""),""))</f>
        <v/>
      </c>
      <c r="G877" s="20">
        <f>IF(OR($B877="",$D877=""),"",IFERROR(IF(AND(INDEX('Intervals'!$G$4:$G$33,MATCH($B877,'Intervals'!$A$4:$A$33,0))&lt;&gt;"No",N(INDEX('Intervals'!$D$4:$D$33,MATCH($B877,'Intervals'!$A$4:$A$33,0)))&gt;0),EDATE($D877,N(INDEX('Intervals'!$D$4:$D$33,MATCH($B877,'Intervals'!$A$4:$A$33,0)))),""),""))</f>
        <v/>
      </c>
      <c r="H877" s="19">
        <f>IF($A877="","",IFERROR(IF(N(INDEX('Cars'!$H$4:$H$103,MATCH($A877,'Cars'!$A$4:$A$103,0)))&gt;0,INDEX('Cars'!$H$4:$H$103,MATCH($A877,'Cars'!$A$4:$A$103,0)),""),""))</f>
        <v/>
      </c>
      <c r="I877" s="19">
        <f>IF(OR($F877="",$H877=""),"",$F877-$H877)</f>
        <v/>
      </c>
      <c r="J877" s="21">
        <f>IF($G877="","",$G877-TODAY())</f>
        <v/>
      </c>
      <c r="K877" s="21">
        <f>IF($I877="","",IFERROR(IF(N(INDEX('Cars'!$J$4:$J$103,MATCH($A877,'Cars'!$A$4:$A$103,0)))&gt;0,ROUND($I877/INDEX('Cars'!$J$4:$J$103,MATCH($A877,'Cars'!$A$4:$A$103,0))*30,0),""),""))</f>
        <v/>
      </c>
      <c r="L877" s="21">
        <f>IF(AND($J877="",$K877=""),"",MIN(IF($J877="",99999,$J877),IF($K877="",99999,$K877)))</f>
        <v/>
      </c>
      <c r="M877" s="16">
        <f>IF(AND($I877="",$J877=""),"",IF(OR(AND($I877&lt;&gt;"",N($I877)&lt;0),AND($J877&lt;&gt;"",N($J877)&lt;0)),"Overdue",IF(OR(AND($I877&lt;&gt;"",N($I877)&lt;=IFERROR(INDEX('Intervals'!$E$4:$E$33,MATCH($B877,'Intervals'!$A$4:$A$33,0)),500)),AND($J877&lt;&gt;"",N($J877)&lt;=IFERROR(INDEX('Intervals'!$F$4:$F$33,MATCH($B877,'Intervals'!$A$4:$A$33,0)),14))),"Due soon","OK")))</f>
        <v/>
      </c>
      <c r="N877" s="15" t="n"/>
      <c r="O877" s="22">
        <f>IF(OR($M877="",$M877="OK"),"",$L877+ROW()/100000)</f>
        <v/>
      </c>
    </row>
    <row r="878">
      <c r="A878" s="15" t="n"/>
      <c r="B878" s="15" t="n"/>
      <c r="C878" s="16">
        <f>IF($B878="","",IFERROR(INDEX('Intervals'!$B$4:$B$33,MATCH($B878,'Intervals'!$A$4:$A$33,0)),""))</f>
        <v/>
      </c>
      <c r="D878" s="17" t="n"/>
      <c r="E878" s="18" t="n"/>
      <c r="F878" s="19">
        <f>IF(OR($B878="",$E878=""),"",IFERROR(IF(AND(INDEX('Intervals'!$G$4:$G$33,MATCH($B878,'Intervals'!$A$4:$A$33,0))&lt;&gt;"No",N(INDEX('Intervals'!$C$4:$C$33,MATCH($B878,'Intervals'!$A$4:$A$33,0)))&gt;0),$E878+N(INDEX('Intervals'!$C$4:$C$33,MATCH($B878,'Intervals'!$A$4:$A$33,0))),""),""))</f>
        <v/>
      </c>
      <c r="G878" s="20">
        <f>IF(OR($B878="",$D878=""),"",IFERROR(IF(AND(INDEX('Intervals'!$G$4:$G$33,MATCH($B878,'Intervals'!$A$4:$A$33,0))&lt;&gt;"No",N(INDEX('Intervals'!$D$4:$D$33,MATCH($B878,'Intervals'!$A$4:$A$33,0)))&gt;0),EDATE($D878,N(INDEX('Intervals'!$D$4:$D$33,MATCH($B878,'Intervals'!$A$4:$A$33,0)))),""),""))</f>
        <v/>
      </c>
      <c r="H878" s="19">
        <f>IF($A878="","",IFERROR(IF(N(INDEX('Cars'!$H$4:$H$103,MATCH($A878,'Cars'!$A$4:$A$103,0)))&gt;0,INDEX('Cars'!$H$4:$H$103,MATCH($A878,'Cars'!$A$4:$A$103,0)),""),""))</f>
        <v/>
      </c>
      <c r="I878" s="19">
        <f>IF(OR($F878="",$H878=""),"",$F878-$H878)</f>
        <v/>
      </c>
      <c r="J878" s="21">
        <f>IF($G878="","",$G878-TODAY())</f>
        <v/>
      </c>
      <c r="K878" s="21">
        <f>IF($I878="","",IFERROR(IF(N(INDEX('Cars'!$J$4:$J$103,MATCH($A878,'Cars'!$A$4:$A$103,0)))&gt;0,ROUND($I878/INDEX('Cars'!$J$4:$J$103,MATCH($A878,'Cars'!$A$4:$A$103,0))*30,0),""),""))</f>
        <v/>
      </c>
      <c r="L878" s="21">
        <f>IF(AND($J878="",$K878=""),"",MIN(IF($J878="",99999,$J878),IF($K878="",99999,$K878)))</f>
        <v/>
      </c>
      <c r="M878" s="16">
        <f>IF(AND($I878="",$J878=""),"",IF(OR(AND($I878&lt;&gt;"",N($I878)&lt;0),AND($J878&lt;&gt;"",N($J878)&lt;0)),"Overdue",IF(OR(AND($I878&lt;&gt;"",N($I878)&lt;=IFERROR(INDEX('Intervals'!$E$4:$E$33,MATCH($B878,'Intervals'!$A$4:$A$33,0)),500)),AND($J878&lt;&gt;"",N($J878)&lt;=IFERROR(INDEX('Intervals'!$F$4:$F$33,MATCH($B878,'Intervals'!$A$4:$A$33,0)),14))),"Due soon","OK")))</f>
        <v/>
      </c>
      <c r="N878" s="15" t="n"/>
      <c r="O878" s="22">
        <f>IF(OR($M878="",$M878="OK"),"",$L878+ROW()/100000)</f>
        <v/>
      </c>
    </row>
    <row r="879">
      <c r="A879" s="15" t="n"/>
      <c r="B879" s="15" t="n"/>
      <c r="C879" s="16">
        <f>IF($B879="","",IFERROR(INDEX('Intervals'!$B$4:$B$33,MATCH($B879,'Intervals'!$A$4:$A$33,0)),""))</f>
        <v/>
      </c>
      <c r="D879" s="17" t="n"/>
      <c r="E879" s="18" t="n"/>
      <c r="F879" s="19">
        <f>IF(OR($B879="",$E879=""),"",IFERROR(IF(AND(INDEX('Intervals'!$G$4:$G$33,MATCH($B879,'Intervals'!$A$4:$A$33,0))&lt;&gt;"No",N(INDEX('Intervals'!$C$4:$C$33,MATCH($B879,'Intervals'!$A$4:$A$33,0)))&gt;0),$E879+N(INDEX('Intervals'!$C$4:$C$33,MATCH($B879,'Intervals'!$A$4:$A$33,0))),""),""))</f>
        <v/>
      </c>
      <c r="G879" s="20">
        <f>IF(OR($B879="",$D879=""),"",IFERROR(IF(AND(INDEX('Intervals'!$G$4:$G$33,MATCH($B879,'Intervals'!$A$4:$A$33,0))&lt;&gt;"No",N(INDEX('Intervals'!$D$4:$D$33,MATCH($B879,'Intervals'!$A$4:$A$33,0)))&gt;0),EDATE($D879,N(INDEX('Intervals'!$D$4:$D$33,MATCH($B879,'Intervals'!$A$4:$A$33,0)))),""),""))</f>
        <v/>
      </c>
      <c r="H879" s="19">
        <f>IF($A879="","",IFERROR(IF(N(INDEX('Cars'!$H$4:$H$103,MATCH($A879,'Cars'!$A$4:$A$103,0)))&gt;0,INDEX('Cars'!$H$4:$H$103,MATCH($A879,'Cars'!$A$4:$A$103,0)),""),""))</f>
        <v/>
      </c>
      <c r="I879" s="19">
        <f>IF(OR($F879="",$H879=""),"",$F879-$H879)</f>
        <v/>
      </c>
      <c r="J879" s="21">
        <f>IF($G879="","",$G879-TODAY())</f>
        <v/>
      </c>
      <c r="K879" s="21">
        <f>IF($I879="","",IFERROR(IF(N(INDEX('Cars'!$J$4:$J$103,MATCH($A879,'Cars'!$A$4:$A$103,0)))&gt;0,ROUND($I879/INDEX('Cars'!$J$4:$J$103,MATCH($A879,'Cars'!$A$4:$A$103,0))*30,0),""),""))</f>
        <v/>
      </c>
      <c r="L879" s="21">
        <f>IF(AND($J879="",$K879=""),"",MIN(IF($J879="",99999,$J879),IF($K879="",99999,$K879)))</f>
        <v/>
      </c>
      <c r="M879" s="16">
        <f>IF(AND($I879="",$J879=""),"",IF(OR(AND($I879&lt;&gt;"",N($I879)&lt;0),AND($J879&lt;&gt;"",N($J879)&lt;0)),"Overdue",IF(OR(AND($I879&lt;&gt;"",N($I879)&lt;=IFERROR(INDEX('Intervals'!$E$4:$E$33,MATCH($B879,'Intervals'!$A$4:$A$33,0)),500)),AND($J879&lt;&gt;"",N($J879)&lt;=IFERROR(INDEX('Intervals'!$F$4:$F$33,MATCH($B879,'Intervals'!$A$4:$A$33,0)),14))),"Due soon","OK")))</f>
        <v/>
      </c>
      <c r="N879" s="15" t="n"/>
      <c r="O879" s="22">
        <f>IF(OR($M879="",$M879="OK"),"",$L879+ROW()/100000)</f>
        <v/>
      </c>
    </row>
    <row r="880">
      <c r="A880" s="15" t="n"/>
      <c r="B880" s="15" t="n"/>
      <c r="C880" s="16">
        <f>IF($B880="","",IFERROR(INDEX('Intervals'!$B$4:$B$33,MATCH($B880,'Intervals'!$A$4:$A$33,0)),""))</f>
        <v/>
      </c>
      <c r="D880" s="17" t="n"/>
      <c r="E880" s="18" t="n"/>
      <c r="F880" s="19">
        <f>IF(OR($B880="",$E880=""),"",IFERROR(IF(AND(INDEX('Intervals'!$G$4:$G$33,MATCH($B880,'Intervals'!$A$4:$A$33,0))&lt;&gt;"No",N(INDEX('Intervals'!$C$4:$C$33,MATCH($B880,'Intervals'!$A$4:$A$33,0)))&gt;0),$E880+N(INDEX('Intervals'!$C$4:$C$33,MATCH($B880,'Intervals'!$A$4:$A$33,0))),""),""))</f>
        <v/>
      </c>
      <c r="G880" s="20">
        <f>IF(OR($B880="",$D880=""),"",IFERROR(IF(AND(INDEX('Intervals'!$G$4:$G$33,MATCH($B880,'Intervals'!$A$4:$A$33,0))&lt;&gt;"No",N(INDEX('Intervals'!$D$4:$D$33,MATCH($B880,'Intervals'!$A$4:$A$33,0)))&gt;0),EDATE($D880,N(INDEX('Intervals'!$D$4:$D$33,MATCH($B880,'Intervals'!$A$4:$A$33,0)))),""),""))</f>
        <v/>
      </c>
      <c r="H880" s="19">
        <f>IF($A880="","",IFERROR(IF(N(INDEX('Cars'!$H$4:$H$103,MATCH($A880,'Cars'!$A$4:$A$103,0)))&gt;0,INDEX('Cars'!$H$4:$H$103,MATCH($A880,'Cars'!$A$4:$A$103,0)),""),""))</f>
        <v/>
      </c>
      <c r="I880" s="19">
        <f>IF(OR($F880="",$H880=""),"",$F880-$H880)</f>
        <v/>
      </c>
      <c r="J880" s="21">
        <f>IF($G880="","",$G880-TODAY())</f>
        <v/>
      </c>
      <c r="K880" s="21">
        <f>IF($I880="","",IFERROR(IF(N(INDEX('Cars'!$J$4:$J$103,MATCH($A880,'Cars'!$A$4:$A$103,0)))&gt;0,ROUND($I880/INDEX('Cars'!$J$4:$J$103,MATCH($A880,'Cars'!$A$4:$A$103,0))*30,0),""),""))</f>
        <v/>
      </c>
      <c r="L880" s="21">
        <f>IF(AND($J880="",$K880=""),"",MIN(IF($J880="",99999,$J880),IF($K880="",99999,$K880)))</f>
        <v/>
      </c>
      <c r="M880" s="16">
        <f>IF(AND($I880="",$J880=""),"",IF(OR(AND($I880&lt;&gt;"",N($I880)&lt;0),AND($J880&lt;&gt;"",N($J880)&lt;0)),"Overdue",IF(OR(AND($I880&lt;&gt;"",N($I880)&lt;=IFERROR(INDEX('Intervals'!$E$4:$E$33,MATCH($B880,'Intervals'!$A$4:$A$33,0)),500)),AND($J880&lt;&gt;"",N($J880)&lt;=IFERROR(INDEX('Intervals'!$F$4:$F$33,MATCH($B880,'Intervals'!$A$4:$A$33,0)),14))),"Due soon","OK")))</f>
        <v/>
      </c>
      <c r="N880" s="15" t="n"/>
      <c r="O880" s="22">
        <f>IF(OR($M880="",$M880="OK"),"",$L880+ROW()/100000)</f>
        <v/>
      </c>
    </row>
    <row r="881">
      <c r="A881" s="15" t="n"/>
      <c r="B881" s="15" t="n"/>
      <c r="C881" s="16">
        <f>IF($B881="","",IFERROR(INDEX('Intervals'!$B$4:$B$33,MATCH($B881,'Intervals'!$A$4:$A$33,0)),""))</f>
        <v/>
      </c>
      <c r="D881" s="17" t="n"/>
      <c r="E881" s="18" t="n"/>
      <c r="F881" s="19">
        <f>IF(OR($B881="",$E881=""),"",IFERROR(IF(AND(INDEX('Intervals'!$G$4:$G$33,MATCH($B881,'Intervals'!$A$4:$A$33,0))&lt;&gt;"No",N(INDEX('Intervals'!$C$4:$C$33,MATCH($B881,'Intervals'!$A$4:$A$33,0)))&gt;0),$E881+N(INDEX('Intervals'!$C$4:$C$33,MATCH($B881,'Intervals'!$A$4:$A$33,0))),""),""))</f>
        <v/>
      </c>
      <c r="G881" s="20">
        <f>IF(OR($B881="",$D881=""),"",IFERROR(IF(AND(INDEX('Intervals'!$G$4:$G$33,MATCH($B881,'Intervals'!$A$4:$A$33,0))&lt;&gt;"No",N(INDEX('Intervals'!$D$4:$D$33,MATCH($B881,'Intervals'!$A$4:$A$33,0)))&gt;0),EDATE($D881,N(INDEX('Intervals'!$D$4:$D$33,MATCH($B881,'Intervals'!$A$4:$A$33,0)))),""),""))</f>
        <v/>
      </c>
      <c r="H881" s="19">
        <f>IF($A881="","",IFERROR(IF(N(INDEX('Cars'!$H$4:$H$103,MATCH($A881,'Cars'!$A$4:$A$103,0)))&gt;0,INDEX('Cars'!$H$4:$H$103,MATCH($A881,'Cars'!$A$4:$A$103,0)),""),""))</f>
        <v/>
      </c>
      <c r="I881" s="19">
        <f>IF(OR($F881="",$H881=""),"",$F881-$H881)</f>
        <v/>
      </c>
      <c r="J881" s="21">
        <f>IF($G881="","",$G881-TODAY())</f>
        <v/>
      </c>
      <c r="K881" s="21">
        <f>IF($I881="","",IFERROR(IF(N(INDEX('Cars'!$J$4:$J$103,MATCH($A881,'Cars'!$A$4:$A$103,0)))&gt;0,ROUND($I881/INDEX('Cars'!$J$4:$J$103,MATCH($A881,'Cars'!$A$4:$A$103,0))*30,0),""),""))</f>
        <v/>
      </c>
      <c r="L881" s="21">
        <f>IF(AND($J881="",$K881=""),"",MIN(IF($J881="",99999,$J881),IF($K881="",99999,$K881)))</f>
        <v/>
      </c>
      <c r="M881" s="16">
        <f>IF(AND($I881="",$J881=""),"",IF(OR(AND($I881&lt;&gt;"",N($I881)&lt;0),AND($J881&lt;&gt;"",N($J881)&lt;0)),"Overdue",IF(OR(AND($I881&lt;&gt;"",N($I881)&lt;=IFERROR(INDEX('Intervals'!$E$4:$E$33,MATCH($B881,'Intervals'!$A$4:$A$33,0)),500)),AND($J881&lt;&gt;"",N($J881)&lt;=IFERROR(INDEX('Intervals'!$F$4:$F$33,MATCH($B881,'Intervals'!$A$4:$A$33,0)),14))),"Due soon","OK")))</f>
        <v/>
      </c>
      <c r="N881" s="15" t="n"/>
      <c r="O881" s="22">
        <f>IF(OR($M881="",$M881="OK"),"",$L881+ROW()/100000)</f>
        <v/>
      </c>
    </row>
    <row r="882">
      <c r="A882" s="15" t="n"/>
      <c r="B882" s="15" t="n"/>
      <c r="C882" s="16">
        <f>IF($B882="","",IFERROR(INDEX('Intervals'!$B$4:$B$33,MATCH($B882,'Intervals'!$A$4:$A$33,0)),""))</f>
        <v/>
      </c>
      <c r="D882" s="17" t="n"/>
      <c r="E882" s="18" t="n"/>
      <c r="F882" s="19">
        <f>IF(OR($B882="",$E882=""),"",IFERROR(IF(AND(INDEX('Intervals'!$G$4:$G$33,MATCH($B882,'Intervals'!$A$4:$A$33,0))&lt;&gt;"No",N(INDEX('Intervals'!$C$4:$C$33,MATCH($B882,'Intervals'!$A$4:$A$33,0)))&gt;0),$E882+N(INDEX('Intervals'!$C$4:$C$33,MATCH($B882,'Intervals'!$A$4:$A$33,0))),""),""))</f>
        <v/>
      </c>
      <c r="G882" s="20">
        <f>IF(OR($B882="",$D882=""),"",IFERROR(IF(AND(INDEX('Intervals'!$G$4:$G$33,MATCH($B882,'Intervals'!$A$4:$A$33,0))&lt;&gt;"No",N(INDEX('Intervals'!$D$4:$D$33,MATCH($B882,'Intervals'!$A$4:$A$33,0)))&gt;0),EDATE($D882,N(INDEX('Intervals'!$D$4:$D$33,MATCH($B882,'Intervals'!$A$4:$A$33,0)))),""),""))</f>
        <v/>
      </c>
      <c r="H882" s="19">
        <f>IF($A882="","",IFERROR(IF(N(INDEX('Cars'!$H$4:$H$103,MATCH($A882,'Cars'!$A$4:$A$103,0)))&gt;0,INDEX('Cars'!$H$4:$H$103,MATCH($A882,'Cars'!$A$4:$A$103,0)),""),""))</f>
        <v/>
      </c>
      <c r="I882" s="19">
        <f>IF(OR($F882="",$H882=""),"",$F882-$H882)</f>
        <v/>
      </c>
      <c r="J882" s="21">
        <f>IF($G882="","",$G882-TODAY())</f>
        <v/>
      </c>
      <c r="K882" s="21">
        <f>IF($I882="","",IFERROR(IF(N(INDEX('Cars'!$J$4:$J$103,MATCH($A882,'Cars'!$A$4:$A$103,0)))&gt;0,ROUND($I882/INDEX('Cars'!$J$4:$J$103,MATCH($A882,'Cars'!$A$4:$A$103,0))*30,0),""),""))</f>
        <v/>
      </c>
      <c r="L882" s="21">
        <f>IF(AND($J882="",$K882=""),"",MIN(IF($J882="",99999,$J882),IF($K882="",99999,$K882)))</f>
        <v/>
      </c>
      <c r="M882" s="16">
        <f>IF(AND($I882="",$J882=""),"",IF(OR(AND($I882&lt;&gt;"",N($I882)&lt;0),AND($J882&lt;&gt;"",N($J882)&lt;0)),"Overdue",IF(OR(AND($I882&lt;&gt;"",N($I882)&lt;=IFERROR(INDEX('Intervals'!$E$4:$E$33,MATCH($B882,'Intervals'!$A$4:$A$33,0)),500)),AND($J882&lt;&gt;"",N($J882)&lt;=IFERROR(INDEX('Intervals'!$F$4:$F$33,MATCH($B882,'Intervals'!$A$4:$A$33,0)),14))),"Due soon","OK")))</f>
        <v/>
      </c>
      <c r="N882" s="15" t="n"/>
      <c r="O882" s="22">
        <f>IF(OR($M882="",$M882="OK"),"",$L882+ROW()/100000)</f>
        <v/>
      </c>
    </row>
    <row r="883">
      <c r="A883" s="15" t="n"/>
      <c r="B883" s="15" t="n"/>
      <c r="C883" s="16">
        <f>IF($B883="","",IFERROR(INDEX('Intervals'!$B$4:$B$33,MATCH($B883,'Intervals'!$A$4:$A$33,0)),""))</f>
        <v/>
      </c>
      <c r="D883" s="17" t="n"/>
      <c r="E883" s="18" t="n"/>
      <c r="F883" s="19">
        <f>IF(OR($B883="",$E883=""),"",IFERROR(IF(AND(INDEX('Intervals'!$G$4:$G$33,MATCH($B883,'Intervals'!$A$4:$A$33,0))&lt;&gt;"No",N(INDEX('Intervals'!$C$4:$C$33,MATCH($B883,'Intervals'!$A$4:$A$33,0)))&gt;0),$E883+N(INDEX('Intervals'!$C$4:$C$33,MATCH($B883,'Intervals'!$A$4:$A$33,0))),""),""))</f>
        <v/>
      </c>
      <c r="G883" s="20">
        <f>IF(OR($B883="",$D883=""),"",IFERROR(IF(AND(INDEX('Intervals'!$G$4:$G$33,MATCH($B883,'Intervals'!$A$4:$A$33,0))&lt;&gt;"No",N(INDEX('Intervals'!$D$4:$D$33,MATCH($B883,'Intervals'!$A$4:$A$33,0)))&gt;0),EDATE($D883,N(INDEX('Intervals'!$D$4:$D$33,MATCH($B883,'Intervals'!$A$4:$A$33,0)))),""),""))</f>
        <v/>
      </c>
      <c r="H883" s="19">
        <f>IF($A883="","",IFERROR(IF(N(INDEX('Cars'!$H$4:$H$103,MATCH($A883,'Cars'!$A$4:$A$103,0)))&gt;0,INDEX('Cars'!$H$4:$H$103,MATCH($A883,'Cars'!$A$4:$A$103,0)),""),""))</f>
        <v/>
      </c>
      <c r="I883" s="19">
        <f>IF(OR($F883="",$H883=""),"",$F883-$H883)</f>
        <v/>
      </c>
      <c r="J883" s="21">
        <f>IF($G883="","",$G883-TODAY())</f>
        <v/>
      </c>
      <c r="K883" s="21">
        <f>IF($I883="","",IFERROR(IF(N(INDEX('Cars'!$J$4:$J$103,MATCH($A883,'Cars'!$A$4:$A$103,0)))&gt;0,ROUND($I883/INDEX('Cars'!$J$4:$J$103,MATCH($A883,'Cars'!$A$4:$A$103,0))*30,0),""),""))</f>
        <v/>
      </c>
      <c r="L883" s="21">
        <f>IF(AND($J883="",$K883=""),"",MIN(IF($J883="",99999,$J883),IF($K883="",99999,$K883)))</f>
        <v/>
      </c>
      <c r="M883" s="16">
        <f>IF(AND($I883="",$J883=""),"",IF(OR(AND($I883&lt;&gt;"",N($I883)&lt;0),AND($J883&lt;&gt;"",N($J883)&lt;0)),"Overdue",IF(OR(AND($I883&lt;&gt;"",N($I883)&lt;=IFERROR(INDEX('Intervals'!$E$4:$E$33,MATCH($B883,'Intervals'!$A$4:$A$33,0)),500)),AND($J883&lt;&gt;"",N($J883)&lt;=IFERROR(INDEX('Intervals'!$F$4:$F$33,MATCH($B883,'Intervals'!$A$4:$A$33,0)),14))),"Due soon","OK")))</f>
        <v/>
      </c>
      <c r="N883" s="15" t="n"/>
      <c r="O883" s="22">
        <f>IF(OR($M883="",$M883="OK"),"",$L883+ROW()/100000)</f>
        <v/>
      </c>
    </row>
    <row r="884">
      <c r="A884" s="15" t="n"/>
      <c r="B884" s="15" t="n"/>
      <c r="C884" s="16">
        <f>IF($B884="","",IFERROR(INDEX('Intervals'!$B$4:$B$33,MATCH($B884,'Intervals'!$A$4:$A$33,0)),""))</f>
        <v/>
      </c>
      <c r="D884" s="17" t="n"/>
      <c r="E884" s="18" t="n"/>
      <c r="F884" s="19">
        <f>IF(OR($B884="",$E884=""),"",IFERROR(IF(AND(INDEX('Intervals'!$G$4:$G$33,MATCH($B884,'Intervals'!$A$4:$A$33,0))&lt;&gt;"No",N(INDEX('Intervals'!$C$4:$C$33,MATCH($B884,'Intervals'!$A$4:$A$33,0)))&gt;0),$E884+N(INDEX('Intervals'!$C$4:$C$33,MATCH($B884,'Intervals'!$A$4:$A$33,0))),""),""))</f>
        <v/>
      </c>
      <c r="G884" s="20">
        <f>IF(OR($B884="",$D884=""),"",IFERROR(IF(AND(INDEX('Intervals'!$G$4:$G$33,MATCH($B884,'Intervals'!$A$4:$A$33,0))&lt;&gt;"No",N(INDEX('Intervals'!$D$4:$D$33,MATCH($B884,'Intervals'!$A$4:$A$33,0)))&gt;0),EDATE($D884,N(INDEX('Intervals'!$D$4:$D$33,MATCH($B884,'Intervals'!$A$4:$A$33,0)))),""),""))</f>
        <v/>
      </c>
      <c r="H884" s="19">
        <f>IF($A884="","",IFERROR(IF(N(INDEX('Cars'!$H$4:$H$103,MATCH($A884,'Cars'!$A$4:$A$103,0)))&gt;0,INDEX('Cars'!$H$4:$H$103,MATCH($A884,'Cars'!$A$4:$A$103,0)),""),""))</f>
        <v/>
      </c>
      <c r="I884" s="19">
        <f>IF(OR($F884="",$H884=""),"",$F884-$H884)</f>
        <v/>
      </c>
      <c r="J884" s="21">
        <f>IF($G884="","",$G884-TODAY())</f>
        <v/>
      </c>
      <c r="K884" s="21">
        <f>IF($I884="","",IFERROR(IF(N(INDEX('Cars'!$J$4:$J$103,MATCH($A884,'Cars'!$A$4:$A$103,0)))&gt;0,ROUND($I884/INDEX('Cars'!$J$4:$J$103,MATCH($A884,'Cars'!$A$4:$A$103,0))*30,0),""),""))</f>
        <v/>
      </c>
      <c r="L884" s="21">
        <f>IF(AND($J884="",$K884=""),"",MIN(IF($J884="",99999,$J884),IF($K884="",99999,$K884)))</f>
        <v/>
      </c>
      <c r="M884" s="16">
        <f>IF(AND($I884="",$J884=""),"",IF(OR(AND($I884&lt;&gt;"",N($I884)&lt;0),AND($J884&lt;&gt;"",N($J884)&lt;0)),"Overdue",IF(OR(AND($I884&lt;&gt;"",N($I884)&lt;=IFERROR(INDEX('Intervals'!$E$4:$E$33,MATCH($B884,'Intervals'!$A$4:$A$33,0)),500)),AND($J884&lt;&gt;"",N($J884)&lt;=IFERROR(INDEX('Intervals'!$F$4:$F$33,MATCH($B884,'Intervals'!$A$4:$A$33,0)),14))),"Due soon","OK")))</f>
        <v/>
      </c>
      <c r="N884" s="15" t="n"/>
      <c r="O884" s="22">
        <f>IF(OR($M884="",$M884="OK"),"",$L884+ROW()/100000)</f>
        <v/>
      </c>
    </row>
    <row r="885">
      <c r="A885" s="15" t="n"/>
      <c r="B885" s="15" t="n"/>
      <c r="C885" s="16">
        <f>IF($B885="","",IFERROR(INDEX('Intervals'!$B$4:$B$33,MATCH($B885,'Intervals'!$A$4:$A$33,0)),""))</f>
        <v/>
      </c>
      <c r="D885" s="17" t="n"/>
      <c r="E885" s="18" t="n"/>
      <c r="F885" s="19">
        <f>IF(OR($B885="",$E885=""),"",IFERROR(IF(AND(INDEX('Intervals'!$G$4:$G$33,MATCH($B885,'Intervals'!$A$4:$A$33,0))&lt;&gt;"No",N(INDEX('Intervals'!$C$4:$C$33,MATCH($B885,'Intervals'!$A$4:$A$33,0)))&gt;0),$E885+N(INDEX('Intervals'!$C$4:$C$33,MATCH($B885,'Intervals'!$A$4:$A$33,0))),""),""))</f>
        <v/>
      </c>
      <c r="G885" s="20">
        <f>IF(OR($B885="",$D885=""),"",IFERROR(IF(AND(INDEX('Intervals'!$G$4:$G$33,MATCH($B885,'Intervals'!$A$4:$A$33,0))&lt;&gt;"No",N(INDEX('Intervals'!$D$4:$D$33,MATCH($B885,'Intervals'!$A$4:$A$33,0)))&gt;0),EDATE($D885,N(INDEX('Intervals'!$D$4:$D$33,MATCH($B885,'Intervals'!$A$4:$A$33,0)))),""),""))</f>
        <v/>
      </c>
      <c r="H885" s="19">
        <f>IF($A885="","",IFERROR(IF(N(INDEX('Cars'!$H$4:$H$103,MATCH($A885,'Cars'!$A$4:$A$103,0)))&gt;0,INDEX('Cars'!$H$4:$H$103,MATCH($A885,'Cars'!$A$4:$A$103,0)),""),""))</f>
        <v/>
      </c>
      <c r="I885" s="19">
        <f>IF(OR($F885="",$H885=""),"",$F885-$H885)</f>
        <v/>
      </c>
      <c r="J885" s="21">
        <f>IF($G885="","",$G885-TODAY())</f>
        <v/>
      </c>
      <c r="K885" s="21">
        <f>IF($I885="","",IFERROR(IF(N(INDEX('Cars'!$J$4:$J$103,MATCH($A885,'Cars'!$A$4:$A$103,0)))&gt;0,ROUND($I885/INDEX('Cars'!$J$4:$J$103,MATCH($A885,'Cars'!$A$4:$A$103,0))*30,0),""),""))</f>
        <v/>
      </c>
      <c r="L885" s="21">
        <f>IF(AND($J885="",$K885=""),"",MIN(IF($J885="",99999,$J885),IF($K885="",99999,$K885)))</f>
        <v/>
      </c>
      <c r="M885" s="16">
        <f>IF(AND($I885="",$J885=""),"",IF(OR(AND($I885&lt;&gt;"",N($I885)&lt;0),AND($J885&lt;&gt;"",N($J885)&lt;0)),"Overdue",IF(OR(AND($I885&lt;&gt;"",N($I885)&lt;=IFERROR(INDEX('Intervals'!$E$4:$E$33,MATCH($B885,'Intervals'!$A$4:$A$33,0)),500)),AND($J885&lt;&gt;"",N($J885)&lt;=IFERROR(INDEX('Intervals'!$F$4:$F$33,MATCH($B885,'Intervals'!$A$4:$A$33,0)),14))),"Due soon","OK")))</f>
        <v/>
      </c>
      <c r="N885" s="15" t="n"/>
      <c r="O885" s="22">
        <f>IF(OR($M885="",$M885="OK"),"",$L885+ROW()/100000)</f>
        <v/>
      </c>
    </row>
    <row r="886">
      <c r="A886" s="15" t="n"/>
      <c r="B886" s="15" t="n"/>
      <c r="C886" s="16">
        <f>IF($B886="","",IFERROR(INDEX('Intervals'!$B$4:$B$33,MATCH($B886,'Intervals'!$A$4:$A$33,0)),""))</f>
        <v/>
      </c>
      <c r="D886" s="17" t="n"/>
      <c r="E886" s="18" t="n"/>
      <c r="F886" s="19">
        <f>IF(OR($B886="",$E886=""),"",IFERROR(IF(AND(INDEX('Intervals'!$G$4:$G$33,MATCH($B886,'Intervals'!$A$4:$A$33,0))&lt;&gt;"No",N(INDEX('Intervals'!$C$4:$C$33,MATCH($B886,'Intervals'!$A$4:$A$33,0)))&gt;0),$E886+N(INDEX('Intervals'!$C$4:$C$33,MATCH($B886,'Intervals'!$A$4:$A$33,0))),""),""))</f>
        <v/>
      </c>
      <c r="G886" s="20">
        <f>IF(OR($B886="",$D886=""),"",IFERROR(IF(AND(INDEX('Intervals'!$G$4:$G$33,MATCH($B886,'Intervals'!$A$4:$A$33,0))&lt;&gt;"No",N(INDEX('Intervals'!$D$4:$D$33,MATCH($B886,'Intervals'!$A$4:$A$33,0)))&gt;0),EDATE($D886,N(INDEX('Intervals'!$D$4:$D$33,MATCH($B886,'Intervals'!$A$4:$A$33,0)))),""),""))</f>
        <v/>
      </c>
      <c r="H886" s="19">
        <f>IF($A886="","",IFERROR(IF(N(INDEX('Cars'!$H$4:$H$103,MATCH($A886,'Cars'!$A$4:$A$103,0)))&gt;0,INDEX('Cars'!$H$4:$H$103,MATCH($A886,'Cars'!$A$4:$A$103,0)),""),""))</f>
        <v/>
      </c>
      <c r="I886" s="19">
        <f>IF(OR($F886="",$H886=""),"",$F886-$H886)</f>
        <v/>
      </c>
      <c r="J886" s="21">
        <f>IF($G886="","",$G886-TODAY())</f>
        <v/>
      </c>
      <c r="K886" s="21">
        <f>IF($I886="","",IFERROR(IF(N(INDEX('Cars'!$J$4:$J$103,MATCH($A886,'Cars'!$A$4:$A$103,0)))&gt;0,ROUND($I886/INDEX('Cars'!$J$4:$J$103,MATCH($A886,'Cars'!$A$4:$A$103,0))*30,0),""),""))</f>
        <v/>
      </c>
      <c r="L886" s="21">
        <f>IF(AND($J886="",$K886=""),"",MIN(IF($J886="",99999,$J886),IF($K886="",99999,$K886)))</f>
        <v/>
      </c>
      <c r="M886" s="16">
        <f>IF(AND($I886="",$J886=""),"",IF(OR(AND($I886&lt;&gt;"",N($I886)&lt;0),AND($J886&lt;&gt;"",N($J886)&lt;0)),"Overdue",IF(OR(AND($I886&lt;&gt;"",N($I886)&lt;=IFERROR(INDEX('Intervals'!$E$4:$E$33,MATCH($B886,'Intervals'!$A$4:$A$33,0)),500)),AND($J886&lt;&gt;"",N($J886)&lt;=IFERROR(INDEX('Intervals'!$F$4:$F$33,MATCH($B886,'Intervals'!$A$4:$A$33,0)),14))),"Due soon","OK")))</f>
        <v/>
      </c>
      <c r="N886" s="15" t="n"/>
      <c r="O886" s="22">
        <f>IF(OR($M886="",$M886="OK"),"",$L886+ROW()/100000)</f>
        <v/>
      </c>
    </row>
    <row r="887">
      <c r="A887" s="15" t="n"/>
      <c r="B887" s="15" t="n"/>
      <c r="C887" s="16">
        <f>IF($B887="","",IFERROR(INDEX('Intervals'!$B$4:$B$33,MATCH($B887,'Intervals'!$A$4:$A$33,0)),""))</f>
        <v/>
      </c>
      <c r="D887" s="17" t="n"/>
      <c r="E887" s="18" t="n"/>
      <c r="F887" s="19">
        <f>IF(OR($B887="",$E887=""),"",IFERROR(IF(AND(INDEX('Intervals'!$G$4:$G$33,MATCH($B887,'Intervals'!$A$4:$A$33,0))&lt;&gt;"No",N(INDEX('Intervals'!$C$4:$C$33,MATCH($B887,'Intervals'!$A$4:$A$33,0)))&gt;0),$E887+N(INDEX('Intervals'!$C$4:$C$33,MATCH($B887,'Intervals'!$A$4:$A$33,0))),""),""))</f>
        <v/>
      </c>
      <c r="G887" s="20">
        <f>IF(OR($B887="",$D887=""),"",IFERROR(IF(AND(INDEX('Intervals'!$G$4:$G$33,MATCH($B887,'Intervals'!$A$4:$A$33,0))&lt;&gt;"No",N(INDEX('Intervals'!$D$4:$D$33,MATCH($B887,'Intervals'!$A$4:$A$33,0)))&gt;0),EDATE($D887,N(INDEX('Intervals'!$D$4:$D$33,MATCH($B887,'Intervals'!$A$4:$A$33,0)))),""),""))</f>
        <v/>
      </c>
      <c r="H887" s="19">
        <f>IF($A887="","",IFERROR(IF(N(INDEX('Cars'!$H$4:$H$103,MATCH($A887,'Cars'!$A$4:$A$103,0)))&gt;0,INDEX('Cars'!$H$4:$H$103,MATCH($A887,'Cars'!$A$4:$A$103,0)),""),""))</f>
        <v/>
      </c>
      <c r="I887" s="19">
        <f>IF(OR($F887="",$H887=""),"",$F887-$H887)</f>
        <v/>
      </c>
      <c r="J887" s="21">
        <f>IF($G887="","",$G887-TODAY())</f>
        <v/>
      </c>
      <c r="K887" s="21">
        <f>IF($I887="","",IFERROR(IF(N(INDEX('Cars'!$J$4:$J$103,MATCH($A887,'Cars'!$A$4:$A$103,0)))&gt;0,ROUND($I887/INDEX('Cars'!$J$4:$J$103,MATCH($A887,'Cars'!$A$4:$A$103,0))*30,0),""),""))</f>
        <v/>
      </c>
      <c r="L887" s="21">
        <f>IF(AND($J887="",$K887=""),"",MIN(IF($J887="",99999,$J887),IF($K887="",99999,$K887)))</f>
        <v/>
      </c>
      <c r="M887" s="16">
        <f>IF(AND($I887="",$J887=""),"",IF(OR(AND($I887&lt;&gt;"",N($I887)&lt;0),AND($J887&lt;&gt;"",N($J887)&lt;0)),"Overdue",IF(OR(AND($I887&lt;&gt;"",N($I887)&lt;=IFERROR(INDEX('Intervals'!$E$4:$E$33,MATCH($B887,'Intervals'!$A$4:$A$33,0)),500)),AND($J887&lt;&gt;"",N($J887)&lt;=IFERROR(INDEX('Intervals'!$F$4:$F$33,MATCH($B887,'Intervals'!$A$4:$A$33,0)),14))),"Due soon","OK")))</f>
        <v/>
      </c>
      <c r="N887" s="15" t="n"/>
      <c r="O887" s="22">
        <f>IF(OR($M887="",$M887="OK"),"",$L887+ROW()/100000)</f>
        <v/>
      </c>
    </row>
    <row r="888">
      <c r="A888" s="15" t="n"/>
      <c r="B888" s="15" t="n"/>
      <c r="C888" s="16">
        <f>IF($B888="","",IFERROR(INDEX('Intervals'!$B$4:$B$33,MATCH($B888,'Intervals'!$A$4:$A$33,0)),""))</f>
        <v/>
      </c>
      <c r="D888" s="17" t="n"/>
      <c r="E888" s="18" t="n"/>
      <c r="F888" s="19">
        <f>IF(OR($B888="",$E888=""),"",IFERROR(IF(AND(INDEX('Intervals'!$G$4:$G$33,MATCH($B888,'Intervals'!$A$4:$A$33,0))&lt;&gt;"No",N(INDEX('Intervals'!$C$4:$C$33,MATCH($B888,'Intervals'!$A$4:$A$33,0)))&gt;0),$E888+N(INDEX('Intervals'!$C$4:$C$33,MATCH($B888,'Intervals'!$A$4:$A$33,0))),""),""))</f>
        <v/>
      </c>
      <c r="G888" s="20">
        <f>IF(OR($B888="",$D888=""),"",IFERROR(IF(AND(INDEX('Intervals'!$G$4:$G$33,MATCH($B888,'Intervals'!$A$4:$A$33,0))&lt;&gt;"No",N(INDEX('Intervals'!$D$4:$D$33,MATCH($B888,'Intervals'!$A$4:$A$33,0)))&gt;0),EDATE($D888,N(INDEX('Intervals'!$D$4:$D$33,MATCH($B888,'Intervals'!$A$4:$A$33,0)))),""),""))</f>
        <v/>
      </c>
      <c r="H888" s="19">
        <f>IF($A888="","",IFERROR(IF(N(INDEX('Cars'!$H$4:$H$103,MATCH($A888,'Cars'!$A$4:$A$103,0)))&gt;0,INDEX('Cars'!$H$4:$H$103,MATCH($A888,'Cars'!$A$4:$A$103,0)),""),""))</f>
        <v/>
      </c>
      <c r="I888" s="19">
        <f>IF(OR($F888="",$H888=""),"",$F888-$H888)</f>
        <v/>
      </c>
      <c r="J888" s="21">
        <f>IF($G888="","",$G888-TODAY())</f>
        <v/>
      </c>
      <c r="K888" s="21">
        <f>IF($I888="","",IFERROR(IF(N(INDEX('Cars'!$J$4:$J$103,MATCH($A888,'Cars'!$A$4:$A$103,0)))&gt;0,ROUND($I888/INDEX('Cars'!$J$4:$J$103,MATCH($A888,'Cars'!$A$4:$A$103,0))*30,0),""),""))</f>
        <v/>
      </c>
      <c r="L888" s="21">
        <f>IF(AND($J888="",$K888=""),"",MIN(IF($J888="",99999,$J888),IF($K888="",99999,$K888)))</f>
        <v/>
      </c>
      <c r="M888" s="16">
        <f>IF(AND($I888="",$J888=""),"",IF(OR(AND($I888&lt;&gt;"",N($I888)&lt;0),AND($J888&lt;&gt;"",N($J888)&lt;0)),"Overdue",IF(OR(AND($I888&lt;&gt;"",N($I888)&lt;=IFERROR(INDEX('Intervals'!$E$4:$E$33,MATCH($B888,'Intervals'!$A$4:$A$33,0)),500)),AND($J888&lt;&gt;"",N($J888)&lt;=IFERROR(INDEX('Intervals'!$F$4:$F$33,MATCH($B888,'Intervals'!$A$4:$A$33,0)),14))),"Due soon","OK")))</f>
        <v/>
      </c>
      <c r="N888" s="15" t="n"/>
      <c r="O888" s="22">
        <f>IF(OR($M888="",$M888="OK"),"",$L888+ROW()/100000)</f>
        <v/>
      </c>
    </row>
    <row r="889">
      <c r="A889" s="15" t="n"/>
      <c r="B889" s="15" t="n"/>
      <c r="C889" s="16">
        <f>IF($B889="","",IFERROR(INDEX('Intervals'!$B$4:$B$33,MATCH($B889,'Intervals'!$A$4:$A$33,0)),""))</f>
        <v/>
      </c>
      <c r="D889" s="17" t="n"/>
      <c r="E889" s="18" t="n"/>
      <c r="F889" s="19">
        <f>IF(OR($B889="",$E889=""),"",IFERROR(IF(AND(INDEX('Intervals'!$G$4:$G$33,MATCH($B889,'Intervals'!$A$4:$A$33,0))&lt;&gt;"No",N(INDEX('Intervals'!$C$4:$C$33,MATCH($B889,'Intervals'!$A$4:$A$33,0)))&gt;0),$E889+N(INDEX('Intervals'!$C$4:$C$33,MATCH($B889,'Intervals'!$A$4:$A$33,0))),""),""))</f>
        <v/>
      </c>
      <c r="G889" s="20">
        <f>IF(OR($B889="",$D889=""),"",IFERROR(IF(AND(INDEX('Intervals'!$G$4:$G$33,MATCH($B889,'Intervals'!$A$4:$A$33,0))&lt;&gt;"No",N(INDEX('Intervals'!$D$4:$D$33,MATCH($B889,'Intervals'!$A$4:$A$33,0)))&gt;0),EDATE($D889,N(INDEX('Intervals'!$D$4:$D$33,MATCH($B889,'Intervals'!$A$4:$A$33,0)))),""),""))</f>
        <v/>
      </c>
      <c r="H889" s="19">
        <f>IF($A889="","",IFERROR(IF(N(INDEX('Cars'!$H$4:$H$103,MATCH($A889,'Cars'!$A$4:$A$103,0)))&gt;0,INDEX('Cars'!$H$4:$H$103,MATCH($A889,'Cars'!$A$4:$A$103,0)),""),""))</f>
        <v/>
      </c>
      <c r="I889" s="19">
        <f>IF(OR($F889="",$H889=""),"",$F889-$H889)</f>
        <v/>
      </c>
      <c r="J889" s="21">
        <f>IF($G889="","",$G889-TODAY())</f>
        <v/>
      </c>
      <c r="K889" s="21">
        <f>IF($I889="","",IFERROR(IF(N(INDEX('Cars'!$J$4:$J$103,MATCH($A889,'Cars'!$A$4:$A$103,0)))&gt;0,ROUND($I889/INDEX('Cars'!$J$4:$J$103,MATCH($A889,'Cars'!$A$4:$A$103,0))*30,0),""),""))</f>
        <v/>
      </c>
      <c r="L889" s="21">
        <f>IF(AND($J889="",$K889=""),"",MIN(IF($J889="",99999,$J889),IF($K889="",99999,$K889)))</f>
        <v/>
      </c>
      <c r="M889" s="16">
        <f>IF(AND($I889="",$J889=""),"",IF(OR(AND($I889&lt;&gt;"",N($I889)&lt;0),AND($J889&lt;&gt;"",N($J889)&lt;0)),"Overdue",IF(OR(AND($I889&lt;&gt;"",N($I889)&lt;=IFERROR(INDEX('Intervals'!$E$4:$E$33,MATCH($B889,'Intervals'!$A$4:$A$33,0)),500)),AND($J889&lt;&gt;"",N($J889)&lt;=IFERROR(INDEX('Intervals'!$F$4:$F$33,MATCH($B889,'Intervals'!$A$4:$A$33,0)),14))),"Due soon","OK")))</f>
        <v/>
      </c>
      <c r="N889" s="15" t="n"/>
      <c r="O889" s="22">
        <f>IF(OR($M889="",$M889="OK"),"",$L889+ROW()/100000)</f>
        <v/>
      </c>
    </row>
    <row r="890">
      <c r="A890" s="15" t="n"/>
      <c r="B890" s="15" t="n"/>
      <c r="C890" s="16">
        <f>IF($B890="","",IFERROR(INDEX('Intervals'!$B$4:$B$33,MATCH($B890,'Intervals'!$A$4:$A$33,0)),""))</f>
        <v/>
      </c>
      <c r="D890" s="17" t="n"/>
      <c r="E890" s="18" t="n"/>
      <c r="F890" s="19">
        <f>IF(OR($B890="",$E890=""),"",IFERROR(IF(AND(INDEX('Intervals'!$G$4:$G$33,MATCH($B890,'Intervals'!$A$4:$A$33,0))&lt;&gt;"No",N(INDEX('Intervals'!$C$4:$C$33,MATCH($B890,'Intervals'!$A$4:$A$33,0)))&gt;0),$E890+N(INDEX('Intervals'!$C$4:$C$33,MATCH($B890,'Intervals'!$A$4:$A$33,0))),""),""))</f>
        <v/>
      </c>
      <c r="G890" s="20">
        <f>IF(OR($B890="",$D890=""),"",IFERROR(IF(AND(INDEX('Intervals'!$G$4:$G$33,MATCH($B890,'Intervals'!$A$4:$A$33,0))&lt;&gt;"No",N(INDEX('Intervals'!$D$4:$D$33,MATCH($B890,'Intervals'!$A$4:$A$33,0)))&gt;0),EDATE($D890,N(INDEX('Intervals'!$D$4:$D$33,MATCH($B890,'Intervals'!$A$4:$A$33,0)))),""),""))</f>
        <v/>
      </c>
      <c r="H890" s="19">
        <f>IF($A890="","",IFERROR(IF(N(INDEX('Cars'!$H$4:$H$103,MATCH($A890,'Cars'!$A$4:$A$103,0)))&gt;0,INDEX('Cars'!$H$4:$H$103,MATCH($A890,'Cars'!$A$4:$A$103,0)),""),""))</f>
        <v/>
      </c>
      <c r="I890" s="19">
        <f>IF(OR($F890="",$H890=""),"",$F890-$H890)</f>
        <v/>
      </c>
      <c r="J890" s="21">
        <f>IF($G890="","",$G890-TODAY())</f>
        <v/>
      </c>
      <c r="K890" s="21">
        <f>IF($I890="","",IFERROR(IF(N(INDEX('Cars'!$J$4:$J$103,MATCH($A890,'Cars'!$A$4:$A$103,0)))&gt;0,ROUND($I890/INDEX('Cars'!$J$4:$J$103,MATCH($A890,'Cars'!$A$4:$A$103,0))*30,0),""),""))</f>
        <v/>
      </c>
      <c r="L890" s="21">
        <f>IF(AND($J890="",$K890=""),"",MIN(IF($J890="",99999,$J890),IF($K890="",99999,$K890)))</f>
        <v/>
      </c>
      <c r="M890" s="16">
        <f>IF(AND($I890="",$J890=""),"",IF(OR(AND($I890&lt;&gt;"",N($I890)&lt;0),AND($J890&lt;&gt;"",N($J890)&lt;0)),"Overdue",IF(OR(AND($I890&lt;&gt;"",N($I890)&lt;=IFERROR(INDEX('Intervals'!$E$4:$E$33,MATCH($B890,'Intervals'!$A$4:$A$33,0)),500)),AND($J890&lt;&gt;"",N($J890)&lt;=IFERROR(INDEX('Intervals'!$F$4:$F$33,MATCH($B890,'Intervals'!$A$4:$A$33,0)),14))),"Due soon","OK")))</f>
        <v/>
      </c>
      <c r="N890" s="15" t="n"/>
      <c r="O890" s="22">
        <f>IF(OR($M890="",$M890="OK"),"",$L890+ROW()/100000)</f>
        <v/>
      </c>
    </row>
    <row r="891">
      <c r="A891" s="15" t="n"/>
      <c r="B891" s="15" t="n"/>
      <c r="C891" s="16">
        <f>IF($B891="","",IFERROR(INDEX('Intervals'!$B$4:$B$33,MATCH($B891,'Intervals'!$A$4:$A$33,0)),""))</f>
        <v/>
      </c>
      <c r="D891" s="17" t="n"/>
      <c r="E891" s="18" t="n"/>
      <c r="F891" s="19">
        <f>IF(OR($B891="",$E891=""),"",IFERROR(IF(AND(INDEX('Intervals'!$G$4:$G$33,MATCH($B891,'Intervals'!$A$4:$A$33,0))&lt;&gt;"No",N(INDEX('Intervals'!$C$4:$C$33,MATCH($B891,'Intervals'!$A$4:$A$33,0)))&gt;0),$E891+N(INDEX('Intervals'!$C$4:$C$33,MATCH($B891,'Intervals'!$A$4:$A$33,0))),""),""))</f>
        <v/>
      </c>
      <c r="G891" s="20">
        <f>IF(OR($B891="",$D891=""),"",IFERROR(IF(AND(INDEX('Intervals'!$G$4:$G$33,MATCH($B891,'Intervals'!$A$4:$A$33,0))&lt;&gt;"No",N(INDEX('Intervals'!$D$4:$D$33,MATCH($B891,'Intervals'!$A$4:$A$33,0)))&gt;0),EDATE($D891,N(INDEX('Intervals'!$D$4:$D$33,MATCH($B891,'Intervals'!$A$4:$A$33,0)))),""),""))</f>
        <v/>
      </c>
      <c r="H891" s="19">
        <f>IF($A891="","",IFERROR(IF(N(INDEX('Cars'!$H$4:$H$103,MATCH($A891,'Cars'!$A$4:$A$103,0)))&gt;0,INDEX('Cars'!$H$4:$H$103,MATCH($A891,'Cars'!$A$4:$A$103,0)),""),""))</f>
        <v/>
      </c>
      <c r="I891" s="19">
        <f>IF(OR($F891="",$H891=""),"",$F891-$H891)</f>
        <v/>
      </c>
      <c r="J891" s="21">
        <f>IF($G891="","",$G891-TODAY())</f>
        <v/>
      </c>
      <c r="K891" s="21">
        <f>IF($I891="","",IFERROR(IF(N(INDEX('Cars'!$J$4:$J$103,MATCH($A891,'Cars'!$A$4:$A$103,0)))&gt;0,ROUND($I891/INDEX('Cars'!$J$4:$J$103,MATCH($A891,'Cars'!$A$4:$A$103,0))*30,0),""),""))</f>
        <v/>
      </c>
      <c r="L891" s="21">
        <f>IF(AND($J891="",$K891=""),"",MIN(IF($J891="",99999,$J891),IF($K891="",99999,$K891)))</f>
        <v/>
      </c>
      <c r="M891" s="16">
        <f>IF(AND($I891="",$J891=""),"",IF(OR(AND($I891&lt;&gt;"",N($I891)&lt;0),AND($J891&lt;&gt;"",N($J891)&lt;0)),"Overdue",IF(OR(AND($I891&lt;&gt;"",N($I891)&lt;=IFERROR(INDEX('Intervals'!$E$4:$E$33,MATCH($B891,'Intervals'!$A$4:$A$33,0)),500)),AND($J891&lt;&gt;"",N($J891)&lt;=IFERROR(INDEX('Intervals'!$F$4:$F$33,MATCH($B891,'Intervals'!$A$4:$A$33,0)),14))),"Due soon","OK")))</f>
        <v/>
      </c>
      <c r="N891" s="15" t="n"/>
      <c r="O891" s="22">
        <f>IF(OR($M891="",$M891="OK"),"",$L891+ROW()/100000)</f>
        <v/>
      </c>
    </row>
    <row r="892">
      <c r="A892" s="15" t="n"/>
      <c r="B892" s="15" t="n"/>
      <c r="C892" s="16">
        <f>IF($B892="","",IFERROR(INDEX('Intervals'!$B$4:$B$33,MATCH($B892,'Intervals'!$A$4:$A$33,0)),""))</f>
        <v/>
      </c>
      <c r="D892" s="17" t="n"/>
      <c r="E892" s="18" t="n"/>
      <c r="F892" s="19">
        <f>IF(OR($B892="",$E892=""),"",IFERROR(IF(AND(INDEX('Intervals'!$G$4:$G$33,MATCH($B892,'Intervals'!$A$4:$A$33,0))&lt;&gt;"No",N(INDEX('Intervals'!$C$4:$C$33,MATCH($B892,'Intervals'!$A$4:$A$33,0)))&gt;0),$E892+N(INDEX('Intervals'!$C$4:$C$33,MATCH($B892,'Intervals'!$A$4:$A$33,0))),""),""))</f>
        <v/>
      </c>
      <c r="G892" s="20">
        <f>IF(OR($B892="",$D892=""),"",IFERROR(IF(AND(INDEX('Intervals'!$G$4:$G$33,MATCH($B892,'Intervals'!$A$4:$A$33,0))&lt;&gt;"No",N(INDEX('Intervals'!$D$4:$D$33,MATCH($B892,'Intervals'!$A$4:$A$33,0)))&gt;0),EDATE($D892,N(INDEX('Intervals'!$D$4:$D$33,MATCH($B892,'Intervals'!$A$4:$A$33,0)))),""),""))</f>
        <v/>
      </c>
      <c r="H892" s="19">
        <f>IF($A892="","",IFERROR(IF(N(INDEX('Cars'!$H$4:$H$103,MATCH($A892,'Cars'!$A$4:$A$103,0)))&gt;0,INDEX('Cars'!$H$4:$H$103,MATCH($A892,'Cars'!$A$4:$A$103,0)),""),""))</f>
        <v/>
      </c>
      <c r="I892" s="19">
        <f>IF(OR($F892="",$H892=""),"",$F892-$H892)</f>
        <v/>
      </c>
      <c r="J892" s="21">
        <f>IF($G892="","",$G892-TODAY())</f>
        <v/>
      </c>
      <c r="K892" s="21">
        <f>IF($I892="","",IFERROR(IF(N(INDEX('Cars'!$J$4:$J$103,MATCH($A892,'Cars'!$A$4:$A$103,0)))&gt;0,ROUND($I892/INDEX('Cars'!$J$4:$J$103,MATCH($A892,'Cars'!$A$4:$A$103,0))*30,0),""),""))</f>
        <v/>
      </c>
      <c r="L892" s="21">
        <f>IF(AND($J892="",$K892=""),"",MIN(IF($J892="",99999,$J892),IF($K892="",99999,$K892)))</f>
        <v/>
      </c>
      <c r="M892" s="16">
        <f>IF(AND($I892="",$J892=""),"",IF(OR(AND($I892&lt;&gt;"",N($I892)&lt;0),AND($J892&lt;&gt;"",N($J892)&lt;0)),"Overdue",IF(OR(AND($I892&lt;&gt;"",N($I892)&lt;=IFERROR(INDEX('Intervals'!$E$4:$E$33,MATCH($B892,'Intervals'!$A$4:$A$33,0)),500)),AND($J892&lt;&gt;"",N($J892)&lt;=IFERROR(INDEX('Intervals'!$F$4:$F$33,MATCH($B892,'Intervals'!$A$4:$A$33,0)),14))),"Due soon","OK")))</f>
        <v/>
      </c>
      <c r="N892" s="15" t="n"/>
      <c r="O892" s="22">
        <f>IF(OR($M892="",$M892="OK"),"",$L892+ROW()/100000)</f>
        <v/>
      </c>
    </row>
    <row r="893">
      <c r="A893" s="15" t="n"/>
      <c r="B893" s="15" t="n"/>
      <c r="C893" s="16">
        <f>IF($B893="","",IFERROR(INDEX('Intervals'!$B$4:$B$33,MATCH($B893,'Intervals'!$A$4:$A$33,0)),""))</f>
        <v/>
      </c>
      <c r="D893" s="17" t="n"/>
      <c r="E893" s="18" t="n"/>
      <c r="F893" s="19">
        <f>IF(OR($B893="",$E893=""),"",IFERROR(IF(AND(INDEX('Intervals'!$G$4:$G$33,MATCH($B893,'Intervals'!$A$4:$A$33,0))&lt;&gt;"No",N(INDEX('Intervals'!$C$4:$C$33,MATCH($B893,'Intervals'!$A$4:$A$33,0)))&gt;0),$E893+N(INDEX('Intervals'!$C$4:$C$33,MATCH($B893,'Intervals'!$A$4:$A$33,0))),""),""))</f>
        <v/>
      </c>
      <c r="G893" s="20">
        <f>IF(OR($B893="",$D893=""),"",IFERROR(IF(AND(INDEX('Intervals'!$G$4:$G$33,MATCH($B893,'Intervals'!$A$4:$A$33,0))&lt;&gt;"No",N(INDEX('Intervals'!$D$4:$D$33,MATCH($B893,'Intervals'!$A$4:$A$33,0)))&gt;0),EDATE($D893,N(INDEX('Intervals'!$D$4:$D$33,MATCH($B893,'Intervals'!$A$4:$A$33,0)))),""),""))</f>
        <v/>
      </c>
      <c r="H893" s="19">
        <f>IF($A893="","",IFERROR(IF(N(INDEX('Cars'!$H$4:$H$103,MATCH($A893,'Cars'!$A$4:$A$103,0)))&gt;0,INDEX('Cars'!$H$4:$H$103,MATCH($A893,'Cars'!$A$4:$A$103,0)),""),""))</f>
        <v/>
      </c>
      <c r="I893" s="19">
        <f>IF(OR($F893="",$H893=""),"",$F893-$H893)</f>
        <v/>
      </c>
      <c r="J893" s="21">
        <f>IF($G893="","",$G893-TODAY())</f>
        <v/>
      </c>
      <c r="K893" s="21">
        <f>IF($I893="","",IFERROR(IF(N(INDEX('Cars'!$J$4:$J$103,MATCH($A893,'Cars'!$A$4:$A$103,0)))&gt;0,ROUND($I893/INDEX('Cars'!$J$4:$J$103,MATCH($A893,'Cars'!$A$4:$A$103,0))*30,0),""),""))</f>
        <v/>
      </c>
      <c r="L893" s="21">
        <f>IF(AND($J893="",$K893=""),"",MIN(IF($J893="",99999,$J893),IF($K893="",99999,$K893)))</f>
        <v/>
      </c>
      <c r="M893" s="16">
        <f>IF(AND($I893="",$J893=""),"",IF(OR(AND($I893&lt;&gt;"",N($I893)&lt;0),AND($J893&lt;&gt;"",N($J893)&lt;0)),"Overdue",IF(OR(AND($I893&lt;&gt;"",N($I893)&lt;=IFERROR(INDEX('Intervals'!$E$4:$E$33,MATCH($B893,'Intervals'!$A$4:$A$33,0)),500)),AND($J893&lt;&gt;"",N($J893)&lt;=IFERROR(INDEX('Intervals'!$F$4:$F$33,MATCH($B893,'Intervals'!$A$4:$A$33,0)),14))),"Due soon","OK")))</f>
        <v/>
      </c>
      <c r="N893" s="15" t="n"/>
      <c r="O893" s="22">
        <f>IF(OR($M893="",$M893="OK"),"",$L893+ROW()/100000)</f>
        <v/>
      </c>
    </row>
    <row r="894">
      <c r="A894" s="15" t="n"/>
      <c r="B894" s="15" t="n"/>
      <c r="C894" s="16">
        <f>IF($B894="","",IFERROR(INDEX('Intervals'!$B$4:$B$33,MATCH($B894,'Intervals'!$A$4:$A$33,0)),""))</f>
        <v/>
      </c>
      <c r="D894" s="17" t="n"/>
      <c r="E894" s="18" t="n"/>
      <c r="F894" s="19">
        <f>IF(OR($B894="",$E894=""),"",IFERROR(IF(AND(INDEX('Intervals'!$G$4:$G$33,MATCH($B894,'Intervals'!$A$4:$A$33,0))&lt;&gt;"No",N(INDEX('Intervals'!$C$4:$C$33,MATCH($B894,'Intervals'!$A$4:$A$33,0)))&gt;0),$E894+N(INDEX('Intervals'!$C$4:$C$33,MATCH($B894,'Intervals'!$A$4:$A$33,0))),""),""))</f>
        <v/>
      </c>
      <c r="G894" s="20">
        <f>IF(OR($B894="",$D894=""),"",IFERROR(IF(AND(INDEX('Intervals'!$G$4:$G$33,MATCH($B894,'Intervals'!$A$4:$A$33,0))&lt;&gt;"No",N(INDEX('Intervals'!$D$4:$D$33,MATCH($B894,'Intervals'!$A$4:$A$33,0)))&gt;0),EDATE($D894,N(INDEX('Intervals'!$D$4:$D$33,MATCH($B894,'Intervals'!$A$4:$A$33,0)))),""),""))</f>
        <v/>
      </c>
      <c r="H894" s="19">
        <f>IF($A894="","",IFERROR(IF(N(INDEX('Cars'!$H$4:$H$103,MATCH($A894,'Cars'!$A$4:$A$103,0)))&gt;0,INDEX('Cars'!$H$4:$H$103,MATCH($A894,'Cars'!$A$4:$A$103,0)),""),""))</f>
        <v/>
      </c>
      <c r="I894" s="19">
        <f>IF(OR($F894="",$H894=""),"",$F894-$H894)</f>
        <v/>
      </c>
      <c r="J894" s="21">
        <f>IF($G894="","",$G894-TODAY())</f>
        <v/>
      </c>
      <c r="K894" s="21">
        <f>IF($I894="","",IFERROR(IF(N(INDEX('Cars'!$J$4:$J$103,MATCH($A894,'Cars'!$A$4:$A$103,0)))&gt;0,ROUND($I894/INDEX('Cars'!$J$4:$J$103,MATCH($A894,'Cars'!$A$4:$A$103,0))*30,0),""),""))</f>
        <v/>
      </c>
      <c r="L894" s="21">
        <f>IF(AND($J894="",$K894=""),"",MIN(IF($J894="",99999,$J894),IF($K894="",99999,$K894)))</f>
        <v/>
      </c>
      <c r="M894" s="16">
        <f>IF(AND($I894="",$J894=""),"",IF(OR(AND($I894&lt;&gt;"",N($I894)&lt;0),AND($J894&lt;&gt;"",N($J894)&lt;0)),"Overdue",IF(OR(AND($I894&lt;&gt;"",N($I894)&lt;=IFERROR(INDEX('Intervals'!$E$4:$E$33,MATCH($B894,'Intervals'!$A$4:$A$33,0)),500)),AND($J894&lt;&gt;"",N($J894)&lt;=IFERROR(INDEX('Intervals'!$F$4:$F$33,MATCH($B894,'Intervals'!$A$4:$A$33,0)),14))),"Due soon","OK")))</f>
        <v/>
      </c>
      <c r="N894" s="15" t="n"/>
      <c r="O894" s="22">
        <f>IF(OR($M894="",$M894="OK"),"",$L894+ROW()/100000)</f>
        <v/>
      </c>
    </row>
    <row r="895">
      <c r="A895" s="15" t="n"/>
      <c r="B895" s="15" t="n"/>
      <c r="C895" s="16">
        <f>IF($B895="","",IFERROR(INDEX('Intervals'!$B$4:$B$33,MATCH($B895,'Intervals'!$A$4:$A$33,0)),""))</f>
        <v/>
      </c>
      <c r="D895" s="17" t="n"/>
      <c r="E895" s="18" t="n"/>
      <c r="F895" s="19">
        <f>IF(OR($B895="",$E895=""),"",IFERROR(IF(AND(INDEX('Intervals'!$G$4:$G$33,MATCH($B895,'Intervals'!$A$4:$A$33,0))&lt;&gt;"No",N(INDEX('Intervals'!$C$4:$C$33,MATCH($B895,'Intervals'!$A$4:$A$33,0)))&gt;0),$E895+N(INDEX('Intervals'!$C$4:$C$33,MATCH($B895,'Intervals'!$A$4:$A$33,0))),""),""))</f>
        <v/>
      </c>
      <c r="G895" s="20">
        <f>IF(OR($B895="",$D895=""),"",IFERROR(IF(AND(INDEX('Intervals'!$G$4:$G$33,MATCH($B895,'Intervals'!$A$4:$A$33,0))&lt;&gt;"No",N(INDEX('Intervals'!$D$4:$D$33,MATCH($B895,'Intervals'!$A$4:$A$33,0)))&gt;0),EDATE($D895,N(INDEX('Intervals'!$D$4:$D$33,MATCH($B895,'Intervals'!$A$4:$A$33,0)))),""),""))</f>
        <v/>
      </c>
      <c r="H895" s="19">
        <f>IF($A895="","",IFERROR(IF(N(INDEX('Cars'!$H$4:$H$103,MATCH($A895,'Cars'!$A$4:$A$103,0)))&gt;0,INDEX('Cars'!$H$4:$H$103,MATCH($A895,'Cars'!$A$4:$A$103,0)),""),""))</f>
        <v/>
      </c>
      <c r="I895" s="19">
        <f>IF(OR($F895="",$H895=""),"",$F895-$H895)</f>
        <v/>
      </c>
      <c r="J895" s="21">
        <f>IF($G895="","",$G895-TODAY())</f>
        <v/>
      </c>
      <c r="K895" s="21">
        <f>IF($I895="","",IFERROR(IF(N(INDEX('Cars'!$J$4:$J$103,MATCH($A895,'Cars'!$A$4:$A$103,0)))&gt;0,ROUND($I895/INDEX('Cars'!$J$4:$J$103,MATCH($A895,'Cars'!$A$4:$A$103,0))*30,0),""),""))</f>
        <v/>
      </c>
      <c r="L895" s="21">
        <f>IF(AND($J895="",$K895=""),"",MIN(IF($J895="",99999,$J895),IF($K895="",99999,$K895)))</f>
        <v/>
      </c>
      <c r="M895" s="16">
        <f>IF(AND($I895="",$J895=""),"",IF(OR(AND($I895&lt;&gt;"",N($I895)&lt;0),AND($J895&lt;&gt;"",N($J895)&lt;0)),"Overdue",IF(OR(AND($I895&lt;&gt;"",N($I895)&lt;=IFERROR(INDEX('Intervals'!$E$4:$E$33,MATCH($B895,'Intervals'!$A$4:$A$33,0)),500)),AND($J895&lt;&gt;"",N($J895)&lt;=IFERROR(INDEX('Intervals'!$F$4:$F$33,MATCH($B895,'Intervals'!$A$4:$A$33,0)),14))),"Due soon","OK")))</f>
        <v/>
      </c>
      <c r="N895" s="15" t="n"/>
      <c r="O895" s="22">
        <f>IF(OR($M895="",$M895="OK"),"",$L895+ROW()/100000)</f>
        <v/>
      </c>
    </row>
    <row r="896">
      <c r="A896" s="15" t="n"/>
      <c r="B896" s="15" t="n"/>
      <c r="C896" s="16">
        <f>IF($B896="","",IFERROR(INDEX('Intervals'!$B$4:$B$33,MATCH($B896,'Intervals'!$A$4:$A$33,0)),""))</f>
        <v/>
      </c>
      <c r="D896" s="17" t="n"/>
      <c r="E896" s="18" t="n"/>
      <c r="F896" s="19">
        <f>IF(OR($B896="",$E896=""),"",IFERROR(IF(AND(INDEX('Intervals'!$G$4:$G$33,MATCH($B896,'Intervals'!$A$4:$A$33,0))&lt;&gt;"No",N(INDEX('Intervals'!$C$4:$C$33,MATCH($B896,'Intervals'!$A$4:$A$33,0)))&gt;0),$E896+N(INDEX('Intervals'!$C$4:$C$33,MATCH($B896,'Intervals'!$A$4:$A$33,0))),""),""))</f>
        <v/>
      </c>
      <c r="G896" s="20">
        <f>IF(OR($B896="",$D896=""),"",IFERROR(IF(AND(INDEX('Intervals'!$G$4:$G$33,MATCH($B896,'Intervals'!$A$4:$A$33,0))&lt;&gt;"No",N(INDEX('Intervals'!$D$4:$D$33,MATCH($B896,'Intervals'!$A$4:$A$33,0)))&gt;0),EDATE($D896,N(INDEX('Intervals'!$D$4:$D$33,MATCH($B896,'Intervals'!$A$4:$A$33,0)))),""),""))</f>
        <v/>
      </c>
      <c r="H896" s="19">
        <f>IF($A896="","",IFERROR(IF(N(INDEX('Cars'!$H$4:$H$103,MATCH($A896,'Cars'!$A$4:$A$103,0)))&gt;0,INDEX('Cars'!$H$4:$H$103,MATCH($A896,'Cars'!$A$4:$A$103,0)),""),""))</f>
        <v/>
      </c>
      <c r="I896" s="19">
        <f>IF(OR($F896="",$H896=""),"",$F896-$H896)</f>
        <v/>
      </c>
      <c r="J896" s="21">
        <f>IF($G896="","",$G896-TODAY())</f>
        <v/>
      </c>
      <c r="K896" s="21">
        <f>IF($I896="","",IFERROR(IF(N(INDEX('Cars'!$J$4:$J$103,MATCH($A896,'Cars'!$A$4:$A$103,0)))&gt;0,ROUND($I896/INDEX('Cars'!$J$4:$J$103,MATCH($A896,'Cars'!$A$4:$A$103,0))*30,0),""),""))</f>
        <v/>
      </c>
      <c r="L896" s="21">
        <f>IF(AND($J896="",$K896=""),"",MIN(IF($J896="",99999,$J896),IF($K896="",99999,$K896)))</f>
        <v/>
      </c>
      <c r="M896" s="16">
        <f>IF(AND($I896="",$J896=""),"",IF(OR(AND($I896&lt;&gt;"",N($I896)&lt;0),AND($J896&lt;&gt;"",N($J896)&lt;0)),"Overdue",IF(OR(AND($I896&lt;&gt;"",N($I896)&lt;=IFERROR(INDEX('Intervals'!$E$4:$E$33,MATCH($B896,'Intervals'!$A$4:$A$33,0)),500)),AND($J896&lt;&gt;"",N($J896)&lt;=IFERROR(INDEX('Intervals'!$F$4:$F$33,MATCH($B896,'Intervals'!$A$4:$A$33,0)),14))),"Due soon","OK")))</f>
        <v/>
      </c>
      <c r="N896" s="15" t="n"/>
      <c r="O896" s="22">
        <f>IF(OR($M896="",$M896="OK"),"",$L896+ROW()/100000)</f>
        <v/>
      </c>
    </row>
    <row r="897">
      <c r="A897" s="15" t="n"/>
      <c r="B897" s="15" t="n"/>
      <c r="C897" s="16">
        <f>IF($B897="","",IFERROR(INDEX('Intervals'!$B$4:$B$33,MATCH($B897,'Intervals'!$A$4:$A$33,0)),""))</f>
        <v/>
      </c>
      <c r="D897" s="17" t="n"/>
      <c r="E897" s="18" t="n"/>
      <c r="F897" s="19">
        <f>IF(OR($B897="",$E897=""),"",IFERROR(IF(AND(INDEX('Intervals'!$G$4:$G$33,MATCH($B897,'Intervals'!$A$4:$A$33,0))&lt;&gt;"No",N(INDEX('Intervals'!$C$4:$C$33,MATCH($B897,'Intervals'!$A$4:$A$33,0)))&gt;0),$E897+N(INDEX('Intervals'!$C$4:$C$33,MATCH($B897,'Intervals'!$A$4:$A$33,0))),""),""))</f>
        <v/>
      </c>
      <c r="G897" s="20">
        <f>IF(OR($B897="",$D897=""),"",IFERROR(IF(AND(INDEX('Intervals'!$G$4:$G$33,MATCH($B897,'Intervals'!$A$4:$A$33,0))&lt;&gt;"No",N(INDEX('Intervals'!$D$4:$D$33,MATCH($B897,'Intervals'!$A$4:$A$33,0)))&gt;0),EDATE($D897,N(INDEX('Intervals'!$D$4:$D$33,MATCH($B897,'Intervals'!$A$4:$A$33,0)))),""),""))</f>
        <v/>
      </c>
      <c r="H897" s="19">
        <f>IF($A897="","",IFERROR(IF(N(INDEX('Cars'!$H$4:$H$103,MATCH($A897,'Cars'!$A$4:$A$103,0)))&gt;0,INDEX('Cars'!$H$4:$H$103,MATCH($A897,'Cars'!$A$4:$A$103,0)),""),""))</f>
        <v/>
      </c>
      <c r="I897" s="19">
        <f>IF(OR($F897="",$H897=""),"",$F897-$H897)</f>
        <v/>
      </c>
      <c r="J897" s="21">
        <f>IF($G897="","",$G897-TODAY())</f>
        <v/>
      </c>
      <c r="K897" s="21">
        <f>IF($I897="","",IFERROR(IF(N(INDEX('Cars'!$J$4:$J$103,MATCH($A897,'Cars'!$A$4:$A$103,0)))&gt;0,ROUND($I897/INDEX('Cars'!$J$4:$J$103,MATCH($A897,'Cars'!$A$4:$A$103,0))*30,0),""),""))</f>
        <v/>
      </c>
      <c r="L897" s="21">
        <f>IF(AND($J897="",$K897=""),"",MIN(IF($J897="",99999,$J897),IF($K897="",99999,$K897)))</f>
        <v/>
      </c>
      <c r="M897" s="16">
        <f>IF(AND($I897="",$J897=""),"",IF(OR(AND($I897&lt;&gt;"",N($I897)&lt;0),AND($J897&lt;&gt;"",N($J897)&lt;0)),"Overdue",IF(OR(AND($I897&lt;&gt;"",N($I897)&lt;=IFERROR(INDEX('Intervals'!$E$4:$E$33,MATCH($B897,'Intervals'!$A$4:$A$33,0)),500)),AND($J897&lt;&gt;"",N($J897)&lt;=IFERROR(INDEX('Intervals'!$F$4:$F$33,MATCH($B897,'Intervals'!$A$4:$A$33,0)),14))),"Due soon","OK")))</f>
        <v/>
      </c>
      <c r="N897" s="15" t="n"/>
      <c r="O897" s="22">
        <f>IF(OR($M897="",$M897="OK"),"",$L897+ROW()/100000)</f>
        <v/>
      </c>
    </row>
    <row r="898">
      <c r="A898" s="15" t="n"/>
      <c r="B898" s="15" t="n"/>
      <c r="C898" s="16">
        <f>IF($B898="","",IFERROR(INDEX('Intervals'!$B$4:$B$33,MATCH($B898,'Intervals'!$A$4:$A$33,0)),""))</f>
        <v/>
      </c>
      <c r="D898" s="17" t="n"/>
      <c r="E898" s="18" t="n"/>
      <c r="F898" s="19">
        <f>IF(OR($B898="",$E898=""),"",IFERROR(IF(AND(INDEX('Intervals'!$G$4:$G$33,MATCH($B898,'Intervals'!$A$4:$A$33,0))&lt;&gt;"No",N(INDEX('Intervals'!$C$4:$C$33,MATCH($B898,'Intervals'!$A$4:$A$33,0)))&gt;0),$E898+N(INDEX('Intervals'!$C$4:$C$33,MATCH($B898,'Intervals'!$A$4:$A$33,0))),""),""))</f>
        <v/>
      </c>
      <c r="G898" s="20">
        <f>IF(OR($B898="",$D898=""),"",IFERROR(IF(AND(INDEX('Intervals'!$G$4:$G$33,MATCH($B898,'Intervals'!$A$4:$A$33,0))&lt;&gt;"No",N(INDEX('Intervals'!$D$4:$D$33,MATCH($B898,'Intervals'!$A$4:$A$33,0)))&gt;0),EDATE($D898,N(INDEX('Intervals'!$D$4:$D$33,MATCH($B898,'Intervals'!$A$4:$A$33,0)))),""),""))</f>
        <v/>
      </c>
      <c r="H898" s="19">
        <f>IF($A898="","",IFERROR(IF(N(INDEX('Cars'!$H$4:$H$103,MATCH($A898,'Cars'!$A$4:$A$103,0)))&gt;0,INDEX('Cars'!$H$4:$H$103,MATCH($A898,'Cars'!$A$4:$A$103,0)),""),""))</f>
        <v/>
      </c>
      <c r="I898" s="19">
        <f>IF(OR($F898="",$H898=""),"",$F898-$H898)</f>
        <v/>
      </c>
      <c r="J898" s="21">
        <f>IF($G898="","",$G898-TODAY())</f>
        <v/>
      </c>
      <c r="K898" s="21">
        <f>IF($I898="","",IFERROR(IF(N(INDEX('Cars'!$J$4:$J$103,MATCH($A898,'Cars'!$A$4:$A$103,0)))&gt;0,ROUND($I898/INDEX('Cars'!$J$4:$J$103,MATCH($A898,'Cars'!$A$4:$A$103,0))*30,0),""),""))</f>
        <v/>
      </c>
      <c r="L898" s="21">
        <f>IF(AND($J898="",$K898=""),"",MIN(IF($J898="",99999,$J898),IF($K898="",99999,$K898)))</f>
        <v/>
      </c>
      <c r="M898" s="16">
        <f>IF(AND($I898="",$J898=""),"",IF(OR(AND($I898&lt;&gt;"",N($I898)&lt;0),AND($J898&lt;&gt;"",N($J898)&lt;0)),"Overdue",IF(OR(AND($I898&lt;&gt;"",N($I898)&lt;=IFERROR(INDEX('Intervals'!$E$4:$E$33,MATCH($B898,'Intervals'!$A$4:$A$33,0)),500)),AND($J898&lt;&gt;"",N($J898)&lt;=IFERROR(INDEX('Intervals'!$F$4:$F$33,MATCH($B898,'Intervals'!$A$4:$A$33,0)),14))),"Due soon","OK")))</f>
        <v/>
      </c>
      <c r="N898" s="15" t="n"/>
      <c r="O898" s="22">
        <f>IF(OR($M898="",$M898="OK"),"",$L898+ROW()/100000)</f>
        <v/>
      </c>
    </row>
    <row r="899">
      <c r="A899" s="15" t="n"/>
      <c r="B899" s="15" t="n"/>
      <c r="C899" s="16">
        <f>IF($B899="","",IFERROR(INDEX('Intervals'!$B$4:$B$33,MATCH($B899,'Intervals'!$A$4:$A$33,0)),""))</f>
        <v/>
      </c>
      <c r="D899" s="17" t="n"/>
      <c r="E899" s="18" t="n"/>
      <c r="F899" s="19">
        <f>IF(OR($B899="",$E899=""),"",IFERROR(IF(AND(INDEX('Intervals'!$G$4:$G$33,MATCH($B899,'Intervals'!$A$4:$A$33,0))&lt;&gt;"No",N(INDEX('Intervals'!$C$4:$C$33,MATCH($B899,'Intervals'!$A$4:$A$33,0)))&gt;0),$E899+N(INDEX('Intervals'!$C$4:$C$33,MATCH($B899,'Intervals'!$A$4:$A$33,0))),""),""))</f>
        <v/>
      </c>
      <c r="G899" s="20">
        <f>IF(OR($B899="",$D899=""),"",IFERROR(IF(AND(INDEX('Intervals'!$G$4:$G$33,MATCH($B899,'Intervals'!$A$4:$A$33,0))&lt;&gt;"No",N(INDEX('Intervals'!$D$4:$D$33,MATCH($B899,'Intervals'!$A$4:$A$33,0)))&gt;0),EDATE($D899,N(INDEX('Intervals'!$D$4:$D$33,MATCH($B899,'Intervals'!$A$4:$A$33,0)))),""),""))</f>
        <v/>
      </c>
      <c r="H899" s="19">
        <f>IF($A899="","",IFERROR(IF(N(INDEX('Cars'!$H$4:$H$103,MATCH($A899,'Cars'!$A$4:$A$103,0)))&gt;0,INDEX('Cars'!$H$4:$H$103,MATCH($A899,'Cars'!$A$4:$A$103,0)),""),""))</f>
        <v/>
      </c>
      <c r="I899" s="19">
        <f>IF(OR($F899="",$H899=""),"",$F899-$H899)</f>
        <v/>
      </c>
      <c r="J899" s="21">
        <f>IF($G899="","",$G899-TODAY())</f>
        <v/>
      </c>
      <c r="K899" s="21">
        <f>IF($I899="","",IFERROR(IF(N(INDEX('Cars'!$J$4:$J$103,MATCH($A899,'Cars'!$A$4:$A$103,0)))&gt;0,ROUND($I899/INDEX('Cars'!$J$4:$J$103,MATCH($A899,'Cars'!$A$4:$A$103,0))*30,0),""),""))</f>
        <v/>
      </c>
      <c r="L899" s="21">
        <f>IF(AND($J899="",$K899=""),"",MIN(IF($J899="",99999,$J899),IF($K899="",99999,$K899)))</f>
        <v/>
      </c>
      <c r="M899" s="16">
        <f>IF(AND($I899="",$J899=""),"",IF(OR(AND($I899&lt;&gt;"",N($I899)&lt;0),AND($J899&lt;&gt;"",N($J899)&lt;0)),"Overdue",IF(OR(AND($I899&lt;&gt;"",N($I899)&lt;=IFERROR(INDEX('Intervals'!$E$4:$E$33,MATCH($B899,'Intervals'!$A$4:$A$33,0)),500)),AND($J899&lt;&gt;"",N($J899)&lt;=IFERROR(INDEX('Intervals'!$F$4:$F$33,MATCH($B899,'Intervals'!$A$4:$A$33,0)),14))),"Due soon","OK")))</f>
        <v/>
      </c>
      <c r="N899" s="15" t="n"/>
      <c r="O899" s="22">
        <f>IF(OR($M899="",$M899="OK"),"",$L899+ROW()/100000)</f>
        <v/>
      </c>
    </row>
    <row r="900">
      <c r="A900" s="15" t="n"/>
      <c r="B900" s="15" t="n"/>
      <c r="C900" s="16">
        <f>IF($B900="","",IFERROR(INDEX('Intervals'!$B$4:$B$33,MATCH($B900,'Intervals'!$A$4:$A$33,0)),""))</f>
        <v/>
      </c>
      <c r="D900" s="17" t="n"/>
      <c r="E900" s="18" t="n"/>
      <c r="F900" s="19">
        <f>IF(OR($B900="",$E900=""),"",IFERROR(IF(AND(INDEX('Intervals'!$G$4:$G$33,MATCH($B900,'Intervals'!$A$4:$A$33,0))&lt;&gt;"No",N(INDEX('Intervals'!$C$4:$C$33,MATCH($B900,'Intervals'!$A$4:$A$33,0)))&gt;0),$E900+N(INDEX('Intervals'!$C$4:$C$33,MATCH($B900,'Intervals'!$A$4:$A$33,0))),""),""))</f>
        <v/>
      </c>
      <c r="G900" s="20">
        <f>IF(OR($B900="",$D900=""),"",IFERROR(IF(AND(INDEX('Intervals'!$G$4:$G$33,MATCH($B900,'Intervals'!$A$4:$A$33,0))&lt;&gt;"No",N(INDEX('Intervals'!$D$4:$D$33,MATCH($B900,'Intervals'!$A$4:$A$33,0)))&gt;0),EDATE($D900,N(INDEX('Intervals'!$D$4:$D$33,MATCH($B900,'Intervals'!$A$4:$A$33,0)))),""),""))</f>
        <v/>
      </c>
      <c r="H900" s="19">
        <f>IF($A900="","",IFERROR(IF(N(INDEX('Cars'!$H$4:$H$103,MATCH($A900,'Cars'!$A$4:$A$103,0)))&gt;0,INDEX('Cars'!$H$4:$H$103,MATCH($A900,'Cars'!$A$4:$A$103,0)),""),""))</f>
        <v/>
      </c>
      <c r="I900" s="19">
        <f>IF(OR($F900="",$H900=""),"",$F900-$H900)</f>
        <v/>
      </c>
      <c r="J900" s="21">
        <f>IF($G900="","",$G900-TODAY())</f>
        <v/>
      </c>
      <c r="K900" s="21">
        <f>IF($I900="","",IFERROR(IF(N(INDEX('Cars'!$J$4:$J$103,MATCH($A900,'Cars'!$A$4:$A$103,0)))&gt;0,ROUND($I900/INDEX('Cars'!$J$4:$J$103,MATCH($A900,'Cars'!$A$4:$A$103,0))*30,0),""),""))</f>
        <v/>
      </c>
      <c r="L900" s="21">
        <f>IF(AND($J900="",$K900=""),"",MIN(IF($J900="",99999,$J900),IF($K900="",99999,$K900)))</f>
        <v/>
      </c>
      <c r="M900" s="16">
        <f>IF(AND($I900="",$J900=""),"",IF(OR(AND($I900&lt;&gt;"",N($I900)&lt;0),AND($J900&lt;&gt;"",N($J900)&lt;0)),"Overdue",IF(OR(AND($I900&lt;&gt;"",N($I900)&lt;=IFERROR(INDEX('Intervals'!$E$4:$E$33,MATCH($B900,'Intervals'!$A$4:$A$33,0)),500)),AND($J900&lt;&gt;"",N($J900)&lt;=IFERROR(INDEX('Intervals'!$F$4:$F$33,MATCH($B900,'Intervals'!$A$4:$A$33,0)),14))),"Due soon","OK")))</f>
        <v/>
      </c>
      <c r="N900" s="15" t="n"/>
      <c r="O900" s="22">
        <f>IF(OR($M900="",$M900="OK"),"",$L900+ROW()/100000)</f>
        <v/>
      </c>
    </row>
    <row r="901">
      <c r="A901" s="15" t="n"/>
      <c r="B901" s="15" t="n"/>
      <c r="C901" s="16">
        <f>IF($B901="","",IFERROR(INDEX('Intervals'!$B$4:$B$33,MATCH($B901,'Intervals'!$A$4:$A$33,0)),""))</f>
        <v/>
      </c>
      <c r="D901" s="17" t="n"/>
      <c r="E901" s="18" t="n"/>
      <c r="F901" s="19">
        <f>IF(OR($B901="",$E901=""),"",IFERROR(IF(AND(INDEX('Intervals'!$G$4:$G$33,MATCH($B901,'Intervals'!$A$4:$A$33,0))&lt;&gt;"No",N(INDEX('Intervals'!$C$4:$C$33,MATCH($B901,'Intervals'!$A$4:$A$33,0)))&gt;0),$E901+N(INDEX('Intervals'!$C$4:$C$33,MATCH($B901,'Intervals'!$A$4:$A$33,0))),""),""))</f>
        <v/>
      </c>
      <c r="G901" s="20">
        <f>IF(OR($B901="",$D901=""),"",IFERROR(IF(AND(INDEX('Intervals'!$G$4:$G$33,MATCH($B901,'Intervals'!$A$4:$A$33,0))&lt;&gt;"No",N(INDEX('Intervals'!$D$4:$D$33,MATCH($B901,'Intervals'!$A$4:$A$33,0)))&gt;0),EDATE($D901,N(INDEX('Intervals'!$D$4:$D$33,MATCH($B901,'Intervals'!$A$4:$A$33,0)))),""),""))</f>
        <v/>
      </c>
      <c r="H901" s="19">
        <f>IF($A901="","",IFERROR(IF(N(INDEX('Cars'!$H$4:$H$103,MATCH($A901,'Cars'!$A$4:$A$103,0)))&gt;0,INDEX('Cars'!$H$4:$H$103,MATCH($A901,'Cars'!$A$4:$A$103,0)),""),""))</f>
        <v/>
      </c>
      <c r="I901" s="19">
        <f>IF(OR($F901="",$H901=""),"",$F901-$H901)</f>
        <v/>
      </c>
      <c r="J901" s="21">
        <f>IF($G901="","",$G901-TODAY())</f>
        <v/>
      </c>
      <c r="K901" s="21">
        <f>IF($I901="","",IFERROR(IF(N(INDEX('Cars'!$J$4:$J$103,MATCH($A901,'Cars'!$A$4:$A$103,0)))&gt;0,ROUND($I901/INDEX('Cars'!$J$4:$J$103,MATCH($A901,'Cars'!$A$4:$A$103,0))*30,0),""),""))</f>
        <v/>
      </c>
      <c r="L901" s="21">
        <f>IF(AND($J901="",$K901=""),"",MIN(IF($J901="",99999,$J901),IF($K901="",99999,$K901)))</f>
        <v/>
      </c>
      <c r="M901" s="16">
        <f>IF(AND($I901="",$J901=""),"",IF(OR(AND($I901&lt;&gt;"",N($I901)&lt;0),AND($J901&lt;&gt;"",N($J901)&lt;0)),"Overdue",IF(OR(AND($I901&lt;&gt;"",N($I901)&lt;=IFERROR(INDEX('Intervals'!$E$4:$E$33,MATCH($B901,'Intervals'!$A$4:$A$33,0)),500)),AND($J901&lt;&gt;"",N($J901)&lt;=IFERROR(INDEX('Intervals'!$F$4:$F$33,MATCH($B901,'Intervals'!$A$4:$A$33,0)),14))),"Due soon","OK")))</f>
        <v/>
      </c>
      <c r="N901" s="15" t="n"/>
      <c r="O901" s="22">
        <f>IF(OR($M901="",$M901="OK"),"",$L901+ROW()/100000)</f>
        <v/>
      </c>
    </row>
    <row r="902">
      <c r="A902" s="15" t="n"/>
      <c r="B902" s="15" t="n"/>
      <c r="C902" s="16">
        <f>IF($B902="","",IFERROR(INDEX('Intervals'!$B$4:$B$33,MATCH($B902,'Intervals'!$A$4:$A$33,0)),""))</f>
        <v/>
      </c>
      <c r="D902" s="17" t="n"/>
      <c r="E902" s="18" t="n"/>
      <c r="F902" s="19">
        <f>IF(OR($B902="",$E902=""),"",IFERROR(IF(AND(INDEX('Intervals'!$G$4:$G$33,MATCH($B902,'Intervals'!$A$4:$A$33,0))&lt;&gt;"No",N(INDEX('Intervals'!$C$4:$C$33,MATCH($B902,'Intervals'!$A$4:$A$33,0)))&gt;0),$E902+N(INDEX('Intervals'!$C$4:$C$33,MATCH($B902,'Intervals'!$A$4:$A$33,0))),""),""))</f>
        <v/>
      </c>
      <c r="G902" s="20">
        <f>IF(OR($B902="",$D902=""),"",IFERROR(IF(AND(INDEX('Intervals'!$G$4:$G$33,MATCH($B902,'Intervals'!$A$4:$A$33,0))&lt;&gt;"No",N(INDEX('Intervals'!$D$4:$D$33,MATCH($B902,'Intervals'!$A$4:$A$33,0)))&gt;0),EDATE($D902,N(INDEX('Intervals'!$D$4:$D$33,MATCH($B902,'Intervals'!$A$4:$A$33,0)))),""),""))</f>
        <v/>
      </c>
      <c r="H902" s="19">
        <f>IF($A902="","",IFERROR(IF(N(INDEX('Cars'!$H$4:$H$103,MATCH($A902,'Cars'!$A$4:$A$103,0)))&gt;0,INDEX('Cars'!$H$4:$H$103,MATCH($A902,'Cars'!$A$4:$A$103,0)),""),""))</f>
        <v/>
      </c>
      <c r="I902" s="19">
        <f>IF(OR($F902="",$H902=""),"",$F902-$H902)</f>
        <v/>
      </c>
      <c r="J902" s="21">
        <f>IF($G902="","",$G902-TODAY())</f>
        <v/>
      </c>
      <c r="K902" s="21">
        <f>IF($I902="","",IFERROR(IF(N(INDEX('Cars'!$J$4:$J$103,MATCH($A902,'Cars'!$A$4:$A$103,0)))&gt;0,ROUND($I902/INDEX('Cars'!$J$4:$J$103,MATCH($A902,'Cars'!$A$4:$A$103,0))*30,0),""),""))</f>
        <v/>
      </c>
      <c r="L902" s="21">
        <f>IF(AND($J902="",$K902=""),"",MIN(IF($J902="",99999,$J902),IF($K902="",99999,$K902)))</f>
        <v/>
      </c>
      <c r="M902" s="16">
        <f>IF(AND($I902="",$J902=""),"",IF(OR(AND($I902&lt;&gt;"",N($I902)&lt;0),AND($J902&lt;&gt;"",N($J902)&lt;0)),"Overdue",IF(OR(AND($I902&lt;&gt;"",N($I902)&lt;=IFERROR(INDEX('Intervals'!$E$4:$E$33,MATCH($B902,'Intervals'!$A$4:$A$33,0)),500)),AND($J902&lt;&gt;"",N($J902)&lt;=IFERROR(INDEX('Intervals'!$F$4:$F$33,MATCH($B902,'Intervals'!$A$4:$A$33,0)),14))),"Due soon","OK")))</f>
        <v/>
      </c>
      <c r="N902" s="15" t="n"/>
      <c r="O902" s="22">
        <f>IF(OR($M902="",$M902="OK"),"",$L902+ROW()/100000)</f>
        <v/>
      </c>
    </row>
    <row r="903">
      <c r="A903" s="15" t="n"/>
      <c r="B903" s="15" t="n"/>
      <c r="C903" s="16">
        <f>IF($B903="","",IFERROR(INDEX('Intervals'!$B$4:$B$33,MATCH($B903,'Intervals'!$A$4:$A$33,0)),""))</f>
        <v/>
      </c>
      <c r="D903" s="17" t="n"/>
      <c r="E903" s="18" t="n"/>
      <c r="F903" s="19">
        <f>IF(OR($B903="",$E903=""),"",IFERROR(IF(AND(INDEX('Intervals'!$G$4:$G$33,MATCH($B903,'Intervals'!$A$4:$A$33,0))&lt;&gt;"No",N(INDEX('Intervals'!$C$4:$C$33,MATCH($B903,'Intervals'!$A$4:$A$33,0)))&gt;0),$E903+N(INDEX('Intervals'!$C$4:$C$33,MATCH($B903,'Intervals'!$A$4:$A$33,0))),""),""))</f>
        <v/>
      </c>
      <c r="G903" s="20">
        <f>IF(OR($B903="",$D903=""),"",IFERROR(IF(AND(INDEX('Intervals'!$G$4:$G$33,MATCH($B903,'Intervals'!$A$4:$A$33,0))&lt;&gt;"No",N(INDEX('Intervals'!$D$4:$D$33,MATCH($B903,'Intervals'!$A$4:$A$33,0)))&gt;0),EDATE($D903,N(INDEX('Intervals'!$D$4:$D$33,MATCH($B903,'Intervals'!$A$4:$A$33,0)))),""),""))</f>
        <v/>
      </c>
      <c r="H903" s="19">
        <f>IF($A903="","",IFERROR(IF(N(INDEX('Cars'!$H$4:$H$103,MATCH($A903,'Cars'!$A$4:$A$103,0)))&gt;0,INDEX('Cars'!$H$4:$H$103,MATCH($A903,'Cars'!$A$4:$A$103,0)),""),""))</f>
        <v/>
      </c>
      <c r="I903" s="19">
        <f>IF(OR($F903="",$H903=""),"",$F903-$H903)</f>
        <v/>
      </c>
      <c r="J903" s="21">
        <f>IF($G903="","",$G903-TODAY())</f>
        <v/>
      </c>
      <c r="K903" s="21">
        <f>IF($I903="","",IFERROR(IF(N(INDEX('Cars'!$J$4:$J$103,MATCH($A903,'Cars'!$A$4:$A$103,0)))&gt;0,ROUND($I903/INDEX('Cars'!$J$4:$J$103,MATCH($A903,'Cars'!$A$4:$A$103,0))*30,0),""),""))</f>
        <v/>
      </c>
      <c r="L903" s="21">
        <f>IF(AND($J903="",$K903=""),"",MIN(IF($J903="",99999,$J903),IF($K903="",99999,$K903)))</f>
        <v/>
      </c>
      <c r="M903" s="16">
        <f>IF(AND($I903="",$J903=""),"",IF(OR(AND($I903&lt;&gt;"",N($I903)&lt;0),AND($J903&lt;&gt;"",N($J903)&lt;0)),"Overdue",IF(OR(AND($I903&lt;&gt;"",N($I903)&lt;=IFERROR(INDEX('Intervals'!$E$4:$E$33,MATCH($B903,'Intervals'!$A$4:$A$33,0)),500)),AND($J903&lt;&gt;"",N($J903)&lt;=IFERROR(INDEX('Intervals'!$F$4:$F$33,MATCH($B903,'Intervals'!$A$4:$A$33,0)),14))),"Due soon","OK")))</f>
        <v/>
      </c>
      <c r="N903" s="15" t="n"/>
      <c r="O903" s="22">
        <f>IF(OR($M903="",$M903="OK"),"",$L903+ROW()/100000)</f>
        <v/>
      </c>
    </row>
    <row r="904">
      <c r="A904" s="15" t="n"/>
      <c r="B904" s="15" t="n"/>
      <c r="C904" s="16">
        <f>IF($B904="","",IFERROR(INDEX('Intervals'!$B$4:$B$33,MATCH($B904,'Intervals'!$A$4:$A$33,0)),""))</f>
        <v/>
      </c>
      <c r="D904" s="17" t="n"/>
      <c r="E904" s="18" t="n"/>
      <c r="F904" s="19">
        <f>IF(OR($B904="",$E904=""),"",IFERROR(IF(AND(INDEX('Intervals'!$G$4:$G$33,MATCH($B904,'Intervals'!$A$4:$A$33,0))&lt;&gt;"No",N(INDEX('Intervals'!$C$4:$C$33,MATCH($B904,'Intervals'!$A$4:$A$33,0)))&gt;0),$E904+N(INDEX('Intervals'!$C$4:$C$33,MATCH($B904,'Intervals'!$A$4:$A$33,0))),""),""))</f>
        <v/>
      </c>
      <c r="G904" s="20">
        <f>IF(OR($B904="",$D904=""),"",IFERROR(IF(AND(INDEX('Intervals'!$G$4:$G$33,MATCH($B904,'Intervals'!$A$4:$A$33,0))&lt;&gt;"No",N(INDEX('Intervals'!$D$4:$D$33,MATCH($B904,'Intervals'!$A$4:$A$33,0)))&gt;0),EDATE($D904,N(INDEX('Intervals'!$D$4:$D$33,MATCH($B904,'Intervals'!$A$4:$A$33,0)))),""),""))</f>
        <v/>
      </c>
      <c r="H904" s="19">
        <f>IF($A904="","",IFERROR(IF(N(INDEX('Cars'!$H$4:$H$103,MATCH($A904,'Cars'!$A$4:$A$103,0)))&gt;0,INDEX('Cars'!$H$4:$H$103,MATCH($A904,'Cars'!$A$4:$A$103,0)),""),""))</f>
        <v/>
      </c>
      <c r="I904" s="19">
        <f>IF(OR($F904="",$H904=""),"",$F904-$H904)</f>
        <v/>
      </c>
      <c r="J904" s="21">
        <f>IF($G904="","",$G904-TODAY())</f>
        <v/>
      </c>
      <c r="K904" s="21">
        <f>IF($I904="","",IFERROR(IF(N(INDEX('Cars'!$J$4:$J$103,MATCH($A904,'Cars'!$A$4:$A$103,0)))&gt;0,ROUND($I904/INDEX('Cars'!$J$4:$J$103,MATCH($A904,'Cars'!$A$4:$A$103,0))*30,0),""),""))</f>
        <v/>
      </c>
      <c r="L904" s="21">
        <f>IF(AND($J904="",$K904=""),"",MIN(IF($J904="",99999,$J904),IF($K904="",99999,$K904)))</f>
        <v/>
      </c>
      <c r="M904" s="16">
        <f>IF(AND($I904="",$J904=""),"",IF(OR(AND($I904&lt;&gt;"",N($I904)&lt;0),AND($J904&lt;&gt;"",N($J904)&lt;0)),"Overdue",IF(OR(AND($I904&lt;&gt;"",N($I904)&lt;=IFERROR(INDEX('Intervals'!$E$4:$E$33,MATCH($B904,'Intervals'!$A$4:$A$33,0)),500)),AND($J904&lt;&gt;"",N($J904)&lt;=IFERROR(INDEX('Intervals'!$F$4:$F$33,MATCH($B904,'Intervals'!$A$4:$A$33,0)),14))),"Due soon","OK")))</f>
        <v/>
      </c>
      <c r="N904" s="15" t="n"/>
      <c r="O904" s="22">
        <f>IF(OR($M904="",$M904="OK"),"",$L904+ROW()/100000)</f>
        <v/>
      </c>
    </row>
    <row r="905">
      <c r="A905" s="15" t="n"/>
      <c r="B905" s="15" t="n"/>
      <c r="C905" s="16">
        <f>IF($B905="","",IFERROR(INDEX('Intervals'!$B$4:$B$33,MATCH($B905,'Intervals'!$A$4:$A$33,0)),""))</f>
        <v/>
      </c>
      <c r="D905" s="17" t="n"/>
      <c r="E905" s="18" t="n"/>
      <c r="F905" s="19">
        <f>IF(OR($B905="",$E905=""),"",IFERROR(IF(AND(INDEX('Intervals'!$G$4:$G$33,MATCH($B905,'Intervals'!$A$4:$A$33,0))&lt;&gt;"No",N(INDEX('Intervals'!$C$4:$C$33,MATCH($B905,'Intervals'!$A$4:$A$33,0)))&gt;0),$E905+N(INDEX('Intervals'!$C$4:$C$33,MATCH($B905,'Intervals'!$A$4:$A$33,0))),""),""))</f>
        <v/>
      </c>
      <c r="G905" s="20">
        <f>IF(OR($B905="",$D905=""),"",IFERROR(IF(AND(INDEX('Intervals'!$G$4:$G$33,MATCH($B905,'Intervals'!$A$4:$A$33,0))&lt;&gt;"No",N(INDEX('Intervals'!$D$4:$D$33,MATCH($B905,'Intervals'!$A$4:$A$33,0)))&gt;0),EDATE($D905,N(INDEX('Intervals'!$D$4:$D$33,MATCH($B905,'Intervals'!$A$4:$A$33,0)))),""),""))</f>
        <v/>
      </c>
      <c r="H905" s="19">
        <f>IF($A905="","",IFERROR(IF(N(INDEX('Cars'!$H$4:$H$103,MATCH($A905,'Cars'!$A$4:$A$103,0)))&gt;0,INDEX('Cars'!$H$4:$H$103,MATCH($A905,'Cars'!$A$4:$A$103,0)),""),""))</f>
        <v/>
      </c>
      <c r="I905" s="19">
        <f>IF(OR($F905="",$H905=""),"",$F905-$H905)</f>
        <v/>
      </c>
      <c r="J905" s="21">
        <f>IF($G905="","",$G905-TODAY())</f>
        <v/>
      </c>
      <c r="K905" s="21">
        <f>IF($I905="","",IFERROR(IF(N(INDEX('Cars'!$J$4:$J$103,MATCH($A905,'Cars'!$A$4:$A$103,0)))&gt;0,ROUND($I905/INDEX('Cars'!$J$4:$J$103,MATCH($A905,'Cars'!$A$4:$A$103,0))*30,0),""),""))</f>
        <v/>
      </c>
      <c r="L905" s="21">
        <f>IF(AND($J905="",$K905=""),"",MIN(IF($J905="",99999,$J905),IF($K905="",99999,$K905)))</f>
        <v/>
      </c>
      <c r="M905" s="16">
        <f>IF(AND($I905="",$J905=""),"",IF(OR(AND($I905&lt;&gt;"",N($I905)&lt;0),AND($J905&lt;&gt;"",N($J905)&lt;0)),"Overdue",IF(OR(AND($I905&lt;&gt;"",N($I905)&lt;=IFERROR(INDEX('Intervals'!$E$4:$E$33,MATCH($B905,'Intervals'!$A$4:$A$33,0)),500)),AND($J905&lt;&gt;"",N($J905)&lt;=IFERROR(INDEX('Intervals'!$F$4:$F$33,MATCH($B905,'Intervals'!$A$4:$A$33,0)),14))),"Due soon","OK")))</f>
        <v/>
      </c>
      <c r="N905" s="15" t="n"/>
      <c r="O905" s="22">
        <f>IF(OR($M905="",$M905="OK"),"",$L905+ROW()/100000)</f>
        <v/>
      </c>
    </row>
    <row r="906">
      <c r="A906" s="15" t="n"/>
      <c r="B906" s="15" t="n"/>
      <c r="C906" s="16">
        <f>IF($B906="","",IFERROR(INDEX('Intervals'!$B$4:$B$33,MATCH($B906,'Intervals'!$A$4:$A$33,0)),""))</f>
        <v/>
      </c>
      <c r="D906" s="17" t="n"/>
      <c r="E906" s="18" t="n"/>
      <c r="F906" s="19">
        <f>IF(OR($B906="",$E906=""),"",IFERROR(IF(AND(INDEX('Intervals'!$G$4:$G$33,MATCH($B906,'Intervals'!$A$4:$A$33,0))&lt;&gt;"No",N(INDEX('Intervals'!$C$4:$C$33,MATCH($B906,'Intervals'!$A$4:$A$33,0)))&gt;0),$E906+N(INDEX('Intervals'!$C$4:$C$33,MATCH($B906,'Intervals'!$A$4:$A$33,0))),""),""))</f>
        <v/>
      </c>
      <c r="G906" s="20">
        <f>IF(OR($B906="",$D906=""),"",IFERROR(IF(AND(INDEX('Intervals'!$G$4:$G$33,MATCH($B906,'Intervals'!$A$4:$A$33,0))&lt;&gt;"No",N(INDEX('Intervals'!$D$4:$D$33,MATCH($B906,'Intervals'!$A$4:$A$33,0)))&gt;0),EDATE($D906,N(INDEX('Intervals'!$D$4:$D$33,MATCH($B906,'Intervals'!$A$4:$A$33,0)))),""),""))</f>
        <v/>
      </c>
      <c r="H906" s="19">
        <f>IF($A906="","",IFERROR(IF(N(INDEX('Cars'!$H$4:$H$103,MATCH($A906,'Cars'!$A$4:$A$103,0)))&gt;0,INDEX('Cars'!$H$4:$H$103,MATCH($A906,'Cars'!$A$4:$A$103,0)),""),""))</f>
        <v/>
      </c>
      <c r="I906" s="19">
        <f>IF(OR($F906="",$H906=""),"",$F906-$H906)</f>
        <v/>
      </c>
      <c r="J906" s="21">
        <f>IF($G906="","",$G906-TODAY())</f>
        <v/>
      </c>
      <c r="K906" s="21">
        <f>IF($I906="","",IFERROR(IF(N(INDEX('Cars'!$J$4:$J$103,MATCH($A906,'Cars'!$A$4:$A$103,0)))&gt;0,ROUND($I906/INDEX('Cars'!$J$4:$J$103,MATCH($A906,'Cars'!$A$4:$A$103,0))*30,0),""),""))</f>
        <v/>
      </c>
      <c r="L906" s="21">
        <f>IF(AND($J906="",$K906=""),"",MIN(IF($J906="",99999,$J906),IF($K906="",99999,$K906)))</f>
        <v/>
      </c>
      <c r="M906" s="16">
        <f>IF(AND($I906="",$J906=""),"",IF(OR(AND($I906&lt;&gt;"",N($I906)&lt;0),AND($J906&lt;&gt;"",N($J906)&lt;0)),"Overdue",IF(OR(AND($I906&lt;&gt;"",N($I906)&lt;=IFERROR(INDEX('Intervals'!$E$4:$E$33,MATCH($B906,'Intervals'!$A$4:$A$33,0)),500)),AND($J906&lt;&gt;"",N($J906)&lt;=IFERROR(INDEX('Intervals'!$F$4:$F$33,MATCH($B906,'Intervals'!$A$4:$A$33,0)),14))),"Due soon","OK")))</f>
        <v/>
      </c>
      <c r="N906" s="15" t="n"/>
      <c r="O906" s="22">
        <f>IF(OR($M906="",$M906="OK"),"",$L906+ROW()/100000)</f>
        <v/>
      </c>
    </row>
    <row r="907">
      <c r="A907" s="15" t="n"/>
      <c r="B907" s="15" t="n"/>
      <c r="C907" s="16">
        <f>IF($B907="","",IFERROR(INDEX('Intervals'!$B$4:$B$33,MATCH($B907,'Intervals'!$A$4:$A$33,0)),""))</f>
        <v/>
      </c>
      <c r="D907" s="17" t="n"/>
      <c r="E907" s="18" t="n"/>
      <c r="F907" s="19">
        <f>IF(OR($B907="",$E907=""),"",IFERROR(IF(AND(INDEX('Intervals'!$G$4:$G$33,MATCH($B907,'Intervals'!$A$4:$A$33,0))&lt;&gt;"No",N(INDEX('Intervals'!$C$4:$C$33,MATCH($B907,'Intervals'!$A$4:$A$33,0)))&gt;0),$E907+N(INDEX('Intervals'!$C$4:$C$33,MATCH($B907,'Intervals'!$A$4:$A$33,0))),""),""))</f>
        <v/>
      </c>
      <c r="G907" s="20">
        <f>IF(OR($B907="",$D907=""),"",IFERROR(IF(AND(INDEX('Intervals'!$G$4:$G$33,MATCH($B907,'Intervals'!$A$4:$A$33,0))&lt;&gt;"No",N(INDEX('Intervals'!$D$4:$D$33,MATCH($B907,'Intervals'!$A$4:$A$33,0)))&gt;0),EDATE($D907,N(INDEX('Intervals'!$D$4:$D$33,MATCH($B907,'Intervals'!$A$4:$A$33,0)))),""),""))</f>
        <v/>
      </c>
      <c r="H907" s="19">
        <f>IF($A907="","",IFERROR(IF(N(INDEX('Cars'!$H$4:$H$103,MATCH($A907,'Cars'!$A$4:$A$103,0)))&gt;0,INDEX('Cars'!$H$4:$H$103,MATCH($A907,'Cars'!$A$4:$A$103,0)),""),""))</f>
        <v/>
      </c>
      <c r="I907" s="19">
        <f>IF(OR($F907="",$H907=""),"",$F907-$H907)</f>
        <v/>
      </c>
      <c r="J907" s="21">
        <f>IF($G907="","",$G907-TODAY())</f>
        <v/>
      </c>
      <c r="K907" s="21">
        <f>IF($I907="","",IFERROR(IF(N(INDEX('Cars'!$J$4:$J$103,MATCH($A907,'Cars'!$A$4:$A$103,0)))&gt;0,ROUND($I907/INDEX('Cars'!$J$4:$J$103,MATCH($A907,'Cars'!$A$4:$A$103,0))*30,0),""),""))</f>
        <v/>
      </c>
      <c r="L907" s="21">
        <f>IF(AND($J907="",$K907=""),"",MIN(IF($J907="",99999,$J907),IF($K907="",99999,$K907)))</f>
        <v/>
      </c>
      <c r="M907" s="16">
        <f>IF(AND($I907="",$J907=""),"",IF(OR(AND($I907&lt;&gt;"",N($I907)&lt;0),AND($J907&lt;&gt;"",N($J907)&lt;0)),"Overdue",IF(OR(AND($I907&lt;&gt;"",N($I907)&lt;=IFERROR(INDEX('Intervals'!$E$4:$E$33,MATCH($B907,'Intervals'!$A$4:$A$33,0)),500)),AND($J907&lt;&gt;"",N($J907)&lt;=IFERROR(INDEX('Intervals'!$F$4:$F$33,MATCH($B907,'Intervals'!$A$4:$A$33,0)),14))),"Due soon","OK")))</f>
        <v/>
      </c>
      <c r="N907" s="15" t="n"/>
      <c r="O907" s="22">
        <f>IF(OR($M907="",$M907="OK"),"",$L907+ROW()/100000)</f>
        <v/>
      </c>
    </row>
    <row r="908">
      <c r="A908" s="15" t="n"/>
      <c r="B908" s="15" t="n"/>
      <c r="C908" s="16">
        <f>IF($B908="","",IFERROR(INDEX('Intervals'!$B$4:$B$33,MATCH($B908,'Intervals'!$A$4:$A$33,0)),""))</f>
        <v/>
      </c>
      <c r="D908" s="17" t="n"/>
      <c r="E908" s="18" t="n"/>
      <c r="F908" s="19">
        <f>IF(OR($B908="",$E908=""),"",IFERROR(IF(AND(INDEX('Intervals'!$G$4:$G$33,MATCH($B908,'Intervals'!$A$4:$A$33,0))&lt;&gt;"No",N(INDEX('Intervals'!$C$4:$C$33,MATCH($B908,'Intervals'!$A$4:$A$33,0)))&gt;0),$E908+N(INDEX('Intervals'!$C$4:$C$33,MATCH($B908,'Intervals'!$A$4:$A$33,0))),""),""))</f>
        <v/>
      </c>
      <c r="G908" s="20">
        <f>IF(OR($B908="",$D908=""),"",IFERROR(IF(AND(INDEX('Intervals'!$G$4:$G$33,MATCH($B908,'Intervals'!$A$4:$A$33,0))&lt;&gt;"No",N(INDEX('Intervals'!$D$4:$D$33,MATCH($B908,'Intervals'!$A$4:$A$33,0)))&gt;0),EDATE($D908,N(INDEX('Intervals'!$D$4:$D$33,MATCH($B908,'Intervals'!$A$4:$A$33,0)))),""),""))</f>
        <v/>
      </c>
      <c r="H908" s="19">
        <f>IF($A908="","",IFERROR(IF(N(INDEX('Cars'!$H$4:$H$103,MATCH($A908,'Cars'!$A$4:$A$103,0)))&gt;0,INDEX('Cars'!$H$4:$H$103,MATCH($A908,'Cars'!$A$4:$A$103,0)),""),""))</f>
        <v/>
      </c>
      <c r="I908" s="19">
        <f>IF(OR($F908="",$H908=""),"",$F908-$H908)</f>
        <v/>
      </c>
      <c r="J908" s="21">
        <f>IF($G908="","",$G908-TODAY())</f>
        <v/>
      </c>
      <c r="K908" s="21">
        <f>IF($I908="","",IFERROR(IF(N(INDEX('Cars'!$J$4:$J$103,MATCH($A908,'Cars'!$A$4:$A$103,0)))&gt;0,ROUND($I908/INDEX('Cars'!$J$4:$J$103,MATCH($A908,'Cars'!$A$4:$A$103,0))*30,0),""),""))</f>
        <v/>
      </c>
      <c r="L908" s="21">
        <f>IF(AND($J908="",$K908=""),"",MIN(IF($J908="",99999,$J908),IF($K908="",99999,$K908)))</f>
        <v/>
      </c>
      <c r="M908" s="16">
        <f>IF(AND($I908="",$J908=""),"",IF(OR(AND($I908&lt;&gt;"",N($I908)&lt;0),AND($J908&lt;&gt;"",N($J908)&lt;0)),"Overdue",IF(OR(AND($I908&lt;&gt;"",N($I908)&lt;=IFERROR(INDEX('Intervals'!$E$4:$E$33,MATCH($B908,'Intervals'!$A$4:$A$33,0)),500)),AND($J908&lt;&gt;"",N($J908)&lt;=IFERROR(INDEX('Intervals'!$F$4:$F$33,MATCH($B908,'Intervals'!$A$4:$A$33,0)),14))),"Due soon","OK")))</f>
        <v/>
      </c>
      <c r="N908" s="15" t="n"/>
      <c r="O908" s="22">
        <f>IF(OR($M908="",$M908="OK"),"",$L908+ROW()/100000)</f>
        <v/>
      </c>
    </row>
    <row r="909">
      <c r="A909" s="15" t="n"/>
      <c r="B909" s="15" t="n"/>
      <c r="C909" s="16">
        <f>IF($B909="","",IFERROR(INDEX('Intervals'!$B$4:$B$33,MATCH($B909,'Intervals'!$A$4:$A$33,0)),""))</f>
        <v/>
      </c>
      <c r="D909" s="17" t="n"/>
      <c r="E909" s="18" t="n"/>
      <c r="F909" s="19">
        <f>IF(OR($B909="",$E909=""),"",IFERROR(IF(AND(INDEX('Intervals'!$G$4:$G$33,MATCH($B909,'Intervals'!$A$4:$A$33,0))&lt;&gt;"No",N(INDEX('Intervals'!$C$4:$C$33,MATCH($B909,'Intervals'!$A$4:$A$33,0)))&gt;0),$E909+N(INDEX('Intervals'!$C$4:$C$33,MATCH($B909,'Intervals'!$A$4:$A$33,0))),""),""))</f>
        <v/>
      </c>
      <c r="G909" s="20">
        <f>IF(OR($B909="",$D909=""),"",IFERROR(IF(AND(INDEX('Intervals'!$G$4:$G$33,MATCH($B909,'Intervals'!$A$4:$A$33,0))&lt;&gt;"No",N(INDEX('Intervals'!$D$4:$D$33,MATCH($B909,'Intervals'!$A$4:$A$33,0)))&gt;0),EDATE($D909,N(INDEX('Intervals'!$D$4:$D$33,MATCH($B909,'Intervals'!$A$4:$A$33,0)))),""),""))</f>
        <v/>
      </c>
      <c r="H909" s="19">
        <f>IF($A909="","",IFERROR(IF(N(INDEX('Cars'!$H$4:$H$103,MATCH($A909,'Cars'!$A$4:$A$103,0)))&gt;0,INDEX('Cars'!$H$4:$H$103,MATCH($A909,'Cars'!$A$4:$A$103,0)),""),""))</f>
        <v/>
      </c>
      <c r="I909" s="19">
        <f>IF(OR($F909="",$H909=""),"",$F909-$H909)</f>
        <v/>
      </c>
      <c r="J909" s="21">
        <f>IF($G909="","",$G909-TODAY())</f>
        <v/>
      </c>
      <c r="K909" s="21">
        <f>IF($I909="","",IFERROR(IF(N(INDEX('Cars'!$J$4:$J$103,MATCH($A909,'Cars'!$A$4:$A$103,0)))&gt;0,ROUND($I909/INDEX('Cars'!$J$4:$J$103,MATCH($A909,'Cars'!$A$4:$A$103,0))*30,0),""),""))</f>
        <v/>
      </c>
      <c r="L909" s="21">
        <f>IF(AND($J909="",$K909=""),"",MIN(IF($J909="",99999,$J909),IF($K909="",99999,$K909)))</f>
        <v/>
      </c>
      <c r="M909" s="16">
        <f>IF(AND($I909="",$J909=""),"",IF(OR(AND($I909&lt;&gt;"",N($I909)&lt;0),AND($J909&lt;&gt;"",N($J909)&lt;0)),"Overdue",IF(OR(AND($I909&lt;&gt;"",N($I909)&lt;=IFERROR(INDEX('Intervals'!$E$4:$E$33,MATCH($B909,'Intervals'!$A$4:$A$33,0)),500)),AND($J909&lt;&gt;"",N($J909)&lt;=IFERROR(INDEX('Intervals'!$F$4:$F$33,MATCH($B909,'Intervals'!$A$4:$A$33,0)),14))),"Due soon","OK")))</f>
        <v/>
      </c>
      <c r="N909" s="15" t="n"/>
      <c r="O909" s="22">
        <f>IF(OR($M909="",$M909="OK"),"",$L909+ROW()/100000)</f>
        <v/>
      </c>
    </row>
    <row r="910">
      <c r="A910" s="15" t="n"/>
      <c r="B910" s="15" t="n"/>
      <c r="C910" s="16">
        <f>IF($B910="","",IFERROR(INDEX('Intervals'!$B$4:$B$33,MATCH($B910,'Intervals'!$A$4:$A$33,0)),""))</f>
        <v/>
      </c>
      <c r="D910" s="17" t="n"/>
      <c r="E910" s="18" t="n"/>
      <c r="F910" s="19">
        <f>IF(OR($B910="",$E910=""),"",IFERROR(IF(AND(INDEX('Intervals'!$G$4:$G$33,MATCH($B910,'Intervals'!$A$4:$A$33,0))&lt;&gt;"No",N(INDEX('Intervals'!$C$4:$C$33,MATCH($B910,'Intervals'!$A$4:$A$33,0)))&gt;0),$E910+N(INDEX('Intervals'!$C$4:$C$33,MATCH($B910,'Intervals'!$A$4:$A$33,0))),""),""))</f>
        <v/>
      </c>
      <c r="G910" s="20">
        <f>IF(OR($B910="",$D910=""),"",IFERROR(IF(AND(INDEX('Intervals'!$G$4:$G$33,MATCH($B910,'Intervals'!$A$4:$A$33,0))&lt;&gt;"No",N(INDEX('Intervals'!$D$4:$D$33,MATCH($B910,'Intervals'!$A$4:$A$33,0)))&gt;0),EDATE($D910,N(INDEX('Intervals'!$D$4:$D$33,MATCH($B910,'Intervals'!$A$4:$A$33,0)))),""),""))</f>
        <v/>
      </c>
      <c r="H910" s="19">
        <f>IF($A910="","",IFERROR(IF(N(INDEX('Cars'!$H$4:$H$103,MATCH($A910,'Cars'!$A$4:$A$103,0)))&gt;0,INDEX('Cars'!$H$4:$H$103,MATCH($A910,'Cars'!$A$4:$A$103,0)),""),""))</f>
        <v/>
      </c>
      <c r="I910" s="19">
        <f>IF(OR($F910="",$H910=""),"",$F910-$H910)</f>
        <v/>
      </c>
      <c r="J910" s="21">
        <f>IF($G910="","",$G910-TODAY())</f>
        <v/>
      </c>
      <c r="K910" s="21">
        <f>IF($I910="","",IFERROR(IF(N(INDEX('Cars'!$J$4:$J$103,MATCH($A910,'Cars'!$A$4:$A$103,0)))&gt;0,ROUND($I910/INDEX('Cars'!$J$4:$J$103,MATCH($A910,'Cars'!$A$4:$A$103,0))*30,0),""),""))</f>
        <v/>
      </c>
      <c r="L910" s="21">
        <f>IF(AND($J910="",$K910=""),"",MIN(IF($J910="",99999,$J910),IF($K910="",99999,$K910)))</f>
        <v/>
      </c>
      <c r="M910" s="16">
        <f>IF(AND($I910="",$J910=""),"",IF(OR(AND($I910&lt;&gt;"",N($I910)&lt;0),AND($J910&lt;&gt;"",N($J910)&lt;0)),"Overdue",IF(OR(AND($I910&lt;&gt;"",N($I910)&lt;=IFERROR(INDEX('Intervals'!$E$4:$E$33,MATCH($B910,'Intervals'!$A$4:$A$33,0)),500)),AND($J910&lt;&gt;"",N($J910)&lt;=IFERROR(INDEX('Intervals'!$F$4:$F$33,MATCH($B910,'Intervals'!$A$4:$A$33,0)),14))),"Due soon","OK")))</f>
        <v/>
      </c>
      <c r="N910" s="15" t="n"/>
      <c r="O910" s="22">
        <f>IF(OR($M910="",$M910="OK"),"",$L910+ROW()/100000)</f>
        <v/>
      </c>
    </row>
    <row r="911">
      <c r="A911" s="15" t="n"/>
      <c r="B911" s="15" t="n"/>
      <c r="C911" s="16">
        <f>IF($B911="","",IFERROR(INDEX('Intervals'!$B$4:$B$33,MATCH($B911,'Intervals'!$A$4:$A$33,0)),""))</f>
        <v/>
      </c>
      <c r="D911" s="17" t="n"/>
      <c r="E911" s="18" t="n"/>
      <c r="F911" s="19">
        <f>IF(OR($B911="",$E911=""),"",IFERROR(IF(AND(INDEX('Intervals'!$G$4:$G$33,MATCH($B911,'Intervals'!$A$4:$A$33,0))&lt;&gt;"No",N(INDEX('Intervals'!$C$4:$C$33,MATCH($B911,'Intervals'!$A$4:$A$33,0)))&gt;0),$E911+N(INDEX('Intervals'!$C$4:$C$33,MATCH($B911,'Intervals'!$A$4:$A$33,0))),""),""))</f>
        <v/>
      </c>
      <c r="G911" s="20">
        <f>IF(OR($B911="",$D911=""),"",IFERROR(IF(AND(INDEX('Intervals'!$G$4:$G$33,MATCH($B911,'Intervals'!$A$4:$A$33,0))&lt;&gt;"No",N(INDEX('Intervals'!$D$4:$D$33,MATCH($B911,'Intervals'!$A$4:$A$33,0)))&gt;0),EDATE($D911,N(INDEX('Intervals'!$D$4:$D$33,MATCH($B911,'Intervals'!$A$4:$A$33,0)))),""),""))</f>
        <v/>
      </c>
      <c r="H911" s="19">
        <f>IF($A911="","",IFERROR(IF(N(INDEX('Cars'!$H$4:$H$103,MATCH($A911,'Cars'!$A$4:$A$103,0)))&gt;0,INDEX('Cars'!$H$4:$H$103,MATCH($A911,'Cars'!$A$4:$A$103,0)),""),""))</f>
        <v/>
      </c>
      <c r="I911" s="19">
        <f>IF(OR($F911="",$H911=""),"",$F911-$H911)</f>
        <v/>
      </c>
      <c r="J911" s="21">
        <f>IF($G911="","",$G911-TODAY())</f>
        <v/>
      </c>
      <c r="K911" s="21">
        <f>IF($I911="","",IFERROR(IF(N(INDEX('Cars'!$J$4:$J$103,MATCH($A911,'Cars'!$A$4:$A$103,0)))&gt;0,ROUND($I911/INDEX('Cars'!$J$4:$J$103,MATCH($A911,'Cars'!$A$4:$A$103,0))*30,0),""),""))</f>
        <v/>
      </c>
      <c r="L911" s="21">
        <f>IF(AND($J911="",$K911=""),"",MIN(IF($J911="",99999,$J911),IF($K911="",99999,$K911)))</f>
        <v/>
      </c>
      <c r="M911" s="16">
        <f>IF(AND($I911="",$J911=""),"",IF(OR(AND($I911&lt;&gt;"",N($I911)&lt;0),AND($J911&lt;&gt;"",N($J911)&lt;0)),"Overdue",IF(OR(AND($I911&lt;&gt;"",N($I911)&lt;=IFERROR(INDEX('Intervals'!$E$4:$E$33,MATCH($B911,'Intervals'!$A$4:$A$33,0)),500)),AND($J911&lt;&gt;"",N($J911)&lt;=IFERROR(INDEX('Intervals'!$F$4:$F$33,MATCH($B911,'Intervals'!$A$4:$A$33,0)),14))),"Due soon","OK")))</f>
        <v/>
      </c>
      <c r="N911" s="15" t="n"/>
      <c r="O911" s="22">
        <f>IF(OR($M911="",$M911="OK"),"",$L911+ROW()/100000)</f>
        <v/>
      </c>
    </row>
    <row r="912">
      <c r="A912" s="15" t="n"/>
      <c r="B912" s="15" t="n"/>
      <c r="C912" s="16">
        <f>IF($B912="","",IFERROR(INDEX('Intervals'!$B$4:$B$33,MATCH($B912,'Intervals'!$A$4:$A$33,0)),""))</f>
        <v/>
      </c>
      <c r="D912" s="17" t="n"/>
      <c r="E912" s="18" t="n"/>
      <c r="F912" s="19">
        <f>IF(OR($B912="",$E912=""),"",IFERROR(IF(AND(INDEX('Intervals'!$G$4:$G$33,MATCH($B912,'Intervals'!$A$4:$A$33,0))&lt;&gt;"No",N(INDEX('Intervals'!$C$4:$C$33,MATCH($B912,'Intervals'!$A$4:$A$33,0)))&gt;0),$E912+N(INDEX('Intervals'!$C$4:$C$33,MATCH($B912,'Intervals'!$A$4:$A$33,0))),""),""))</f>
        <v/>
      </c>
      <c r="G912" s="20">
        <f>IF(OR($B912="",$D912=""),"",IFERROR(IF(AND(INDEX('Intervals'!$G$4:$G$33,MATCH($B912,'Intervals'!$A$4:$A$33,0))&lt;&gt;"No",N(INDEX('Intervals'!$D$4:$D$33,MATCH($B912,'Intervals'!$A$4:$A$33,0)))&gt;0),EDATE($D912,N(INDEX('Intervals'!$D$4:$D$33,MATCH($B912,'Intervals'!$A$4:$A$33,0)))),""),""))</f>
        <v/>
      </c>
      <c r="H912" s="19">
        <f>IF($A912="","",IFERROR(IF(N(INDEX('Cars'!$H$4:$H$103,MATCH($A912,'Cars'!$A$4:$A$103,0)))&gt;0,INDEX('Cars'!$H$4:$H$103,MATCH($A912,'Cars'!$A$4:$A$103,0)),""),""))</f>
        <v/>
      </c>
      <c r="I912" s="19">
        <f>IF(OR($F912="",$H912=""),"",$F912-$H912)</f>
        <v/>
      </c>
      <c r="J912" s="21">
        <f>IF($G912="","",$G912-TODAY())</f>
        <v/>
      </c>
      <c r="K912" s="21">
        <f>IF($I912="","",IFERROR(IF(N(INDEX('Cars'!$J$4:$J$103,MATCH($A912,'Cars'!$A$4:$A$103,0)))&gt;0,ROUND($I912/INDEX('Cars'!$J$4:$J$103,MATCH($A912,'Cars'!$A$4:$A$103,0))*30,0),""),""))</f>
        <v/>
      </c>
      <c r="L912" s="21">
        <f>IF(AND($J912="",$K912=""),"",MIN(IF($J912="",99999,$J912),IF($K912="",99999,$K912)))</f>
        <v/>
      </c>
      <c r="M912" s="16">
        <f>IF(AND($I912="",$J912=""),"",IF(OR(AND($I912&lt;&gt;"",N($I912)&lt;0),AND($J912&lt;&gt;"",N($J912)&lt;0)),"Overdue",IF(OR(AND($I912&lt;&gt;"",N($I912)&lt;=IFERROR(INDEX('Intervals'!$E$4:$E$33,MATCH($B912,'Intervals'!$A$4:$A$33,0)),500)),AND($J912&lt;&gt;"",N($J912)&lt;=IFERROR(INDEX('Intervals'!$F$4:$F$33,MATCH($B912,'Intervals'!$A$4:$A$33,0)),14))),"Due soon","OK")))</f>
        <v/>
      </c>
      <c r="N912" s="15" t="n"/>
      <c r="O912" s="22">
        <f>IF(OR($M912="",$M912="OK"),"",$L912+ROW()/100000)</f>
        <v/>
      </c>
    </row>
    <row r="913">
      <c r="A913" s="15" t="n"/>
      <c r="B913" s="15" t="n"/>
      <c r="C913" s="16">
        <f>IF($B913="","",IFERROR(INDEX('Intervals'!$B$4:$B$33,MATCH($B913,'Intervals'!$A$4:$A$33,0)),""))</f>
        <v/>
      </c>
      <c r="D913" s="17" t="n"/>
      <c r="E913" s="18" t="n"/>
      <c r="F913" s="19">
        <f>IF(OR($B913="",$E913=""),"",IFERROR(IF(AND(INDEX('Intervals'!$G$4:$G$33,MATCH($B913,'Intervals'!$A$4:$A$33,0))&lt;&gt;"No",N(INDEX('Intervals'!$C$4:$C$33,MATCH($B913,'Intervals'!$A$4:$A$33,0)))&gt;0),$E913+N(INDEX('Intervals'!$C$4:$C$33,MATCH($B913,'Intervals'!$A$4:$A$33,0))),""),""))</f>
        <v/>
      </c>
      <c r="G913" s="20">
        <f>IF(OR($B913="",$D913=""),"",IFERROR(IF(AND(INDEX('Intervals'!$G$4:$G$33,MATCH($B913,'Intervals'!$A$4:$A$33,0))&lt;&gt;"No",N(INDEX('Intervals'!$D$4:$D$33,MATCH($B913,'Intervals'!$A$4:$A$33,0)))&gt;0),EDATE($D913,N(INDEX('Intervals'!$D$4:$D$33,MATCH($B913,'Intervals'!$A$4:$A$33,0)))),""),""))</f>
        <v/>
      </c>
      <c r="H913" s="19">
        <f>IF($A913="","",IFERROR(IF(N(INDEX('Cars'!$H$4:$H$103,MATCH($A913,'Cars'!$A$4:$A$103,0)))&gt;0,INDEX('Cars'!$H$4:$H$103,MATCH($A913,'Cars'!$A$4:$A$103,0)),""),""))</f>
        <v/>
      </c>
      <c r="I913" s="19">
        <f>IF(OR($F913="",$H913=""),"",$F913-$H913)</f>
        <v/>
      </c>
      <c r="J913" s="21">
        <f>IF($G913="","",$G913-TODAY())</f>
        <v/>
      </c>
      <c r="K913" s="21">
        <f>IF($I913="","",IFERROR(IF(N(INDEX('Cars'!$J$4:$J$103,MATCH($A913,'Cars'!$A$4:$A$103,0)))&gt;0,ROUND($I913/INDEX('Cars'!$J$4:$J$103,MATCH($A913,'Cars'!$A$4:$A$103,0))*30,0),""),""))</f>
        <v/>
      </c>
      <c r="L913" s="21">
        <f>IF(AND($J913="",$K913=""),"",MIN(IF($J913="",99999,$J913),IF($K913="",99999,$K913)))</f>
        <v/>
      </c>
      <c r="M913" s="16">
        <f>IF(AND($I913="",$J913=""),"",IF(OR(AND($I913&lt;&gt;"",N($I913)&lt;0),AND($J913&lt;&gt;"",N($J913)&lt;0)),"Overdue",IF(OR(AND($I913&lt;&gt;"",N($I913)&lt;=IFERROR(INDEX('Intervals'!$E$4:$E$33,MATCH($B913,'Intervals'!$A$4:$A$33,0)),500)),AND($J913&lt;&gt;"",N($J913)&lt;=IFERROR(INDEX('Intervals'!$F$4:$F$33,MATCH($B913,'Intervals'!$A$4:$A$33,0)),14))),"Due soon","OK")))</f>
        <v/>
      </c>
      <c r="N913" s="15" t="n"/>
      <c r="O913" s="22">
        <f>IF(OR($M913="",$M913="OK"),"",$L913+ROW()/100000)</f>
        <v/>
      </c>
    </row>
    <row r="914">
      <c r="A914" s="15" t="n"/>
      <c r="B914" s="15" t="n"/>
      <c r="C914" s="16">
        <f>IF($B914="","",IFERROR(INDEX('Intervals'!$B$4:$B$33,MATCH($B914,'Intervals'!$A$4:$A$33,0)),""))</f>
        <v/>
      </c>
      <c r="D914" s="17" t="n"/>
      <c r="E914" s="18" t="n"/>
      <c r="F914" s="19">
        <f>IF(OR($B914="",$E914=""),"",IFERROR(IF(AND(INDEX('Intervals'!$G$4:$G$33,MATCH($B914,'Intervals'!$A$4:$A$33,0))&lt;&gt;"No",N(INDEX('Intervals'!$C$4:$C$33,MATCH($B914,'Intervals'!$A$4:$A$33,0)))&gt;0),$E914+N(INDEX('Intervals'!$C$4:$C$33,MATCH($B914,'Intervals'!$A$4:$A$33,0))),""),""))</f>
        <v/>
      </c>
      <c r="G914" s="20">
        <f>IF(OR($B914="",$D914=""),"",IFERROR(IF(AND(INDEX('Intervals'!$G$4:$G$33,MATCH($B914,'Intervals'!$A$4:$A$33,0))&lt;&gt;"No",N(INDEX('Intervals'!$D$4:$D$33,MATCH($B914,'Intervals'!$A$4:$A$33,0)))&gt;0),EDATE($D914,N(INDEX('Intervals'!$D$4:$D$33,MATCH($B914,'Intervals'!$A$4:$A$33,0)))),""),""))</f>
        <v/>
      </c>
      <c r="H914" s="19">
        <f>IF($A914="","",IFERROR(IF(N(INDEX('Cars'!$H$4:$H$103,MATCH($A914,'Cars'!$A$4:$A$103,0)))&gt;0,INDEX('Cars'!$H$4:$H$103,MATCH($A914,'Cars'!$A$4:$A$103,0)),""),""))</f>
        <v/>
      </c>
      <c r="I914" s="19">
        <f>IF(OR($F914="",$H914=""),"",$F914-$H914)</f>
        <v/>
      </c>
      <c r="J914" s="21">
        <f>IF($G914="","",$G914-TODAY())</f>
        <v/>
      </c>
      <c r="K914" s="21">
        <f>IF($I914="","",IFERROR(IF(N(INDEX('Cars'!$J$4:$J$103,MATCH($A914,'Cars'!$A$4:$A$103,0)))&gt;0,ROUND($I914/INDEX('Cars'!$J$4:$J$103,MATCH($A914,'Cars'!$A$4:$A$103,0))*30,0),""),""))</f>
        <v/>
      </c>
      <c r="L914" s="21">
        <f>IF(AND($J914="",$K914=""),"",MIN(IF($J914="",99999,$J914),IF($K914="",99999,$K914)))</f>
        <v/>
      </c>
      <c r="M914" s="16">
        <f>IF(AND($I914="",$J914=""),"",IF(OR(AND($I914&lt;&gt;"",N($I914)&lt;0),AND($J914&lt;&gt;"",N($J914)&lt;0)),"Overdue",IF(OR(AND($I914&lt;&gt;"",N($I914)&lt;=IFERROR(INDEX('Intervals'!$E$4:$E$33,MATCH($B914,'Intervals'!$A$4:$A$33,0)),500)),AND($J914&lt;&gt;"",N($J914)&lt;=IFERROR(INDEX('Intervals'!$F$4:$F$33,MATCH($B914,'Intervals'!$A$4:$A$33,0)),14))),"Due soon","OK")))</f>
        <v/>
      </c>
      <c r="N914" s="15" t="n"/>
      <c r="O914" s="22">
        <f>IF(OR($M914="",$M914="OK"),"",$L914+ROW()/100000)</f>
        <v/>
      </c>
    </row>
    <row r="915">
      <c r="A915" s="15" t="n"/>
      <c r="B915" s="15" t="n"/>
      <c r="C915" s="16">
        <f>IF($B915="","",IFERROR(INDEX('Intervals'!$B$4:$B$33,MATCH($B915,'Intervals'!$A$4:$A$33,0)),""))</f>
        <v/>
      </c>
      <c r="D915" s="17" t="n"/>
      <c r="E915" s="18" t="n"/>
      <c r="F915" s="19">
        <f>IF(OR($B915="",$E915=""),"",IFERROR(IF(AND(INDEX('Intervals'!$G$4:$G$33,MATCH($B915,'Intervals'!$A$4:$A$33,0))&lt;&gt;"No",N(INDEX('Intervals'!$C$4:$C$33,MATCH($B915,'Intervals'!$A$4:$A$33,0)))&gt;0),$E915+N(INDEX('Intervals'!$C$4:$C$33,MATCH($B915,'Intervals'!$A$4:$A$33,0))),""),""))</f>
        <v/>
      </c>
      <c r="G915" s="20">
        <f>IF(OR($B915="",$D915=""),"",IFERROR(IF(AND(INDEX('Intervals'!$G$4:$G$33,MATCH($B915,'Intervals'!$A$4:$A$33,0))&lt;&gt;"No",N(INDEX('Intervals'!$D$4:$D$33,MATCH($B915,'Intervals'!$A$4:$A$33,0)))&gt;0),EDATE($D915,N(INDEX('Intervals'!$D$4:$D$33,MATCH($B915,'Intervals'!$A$4:$A$33,0)))),""),""))</f>
        <v/>
      </c>
      <c r="H915" s="19">
        <f>IF($A915="","",IFERROR(IF(N(INDEX('Cars'!$H$4:$H$103,MATCH($A915,'Cars'!$A$4:$A$103,0)))&gt;0,INDEX('Cars'!$H$4:$H$103,MATCH($A915,'Cars'!$A$4:$A$103,0)),""),""))</f>
        <v/>
      </c>
      <c r="I915" s="19">
        <f>IF(OR($F915="",$H915=""),"",$F915-$H915)</f>
        <v/>
      </c>
      <c r="J915" s="21">
        <f>IF($G915="","",$G915-TODAY())</f>
        <v/>
      </c>
      <c r="K915" s="21">
        <f>IF($I915="","",IFERROR(IF(N(INDEX('Cars'!$J$4:$J$103,MATCH($A915,'Cars'!$A$4:$A$103,0)))&gt;0,ROUND($I915/INDEX('Cars'!$J$4:$J$103,MATCH($A915,'Cars'!$A$4:$A$103,0))*30,0),""),""))</f>
        <v/>
      </c>
      <c r="L915" s="21">
        <f>IF(AND($J915="",$K915=""),"",MIN(IF($J915="",99999,$J915),IF($K915="",99999,$K915)))</f>
        <v/>
      </c>
      <c r="M915" s="16">
        <f>IF(AND($I915="",$J915=""),"",IF(OR(AND($I915&lt;&gt;"",N($I915)&lt;0),AND($J915&lt;&gt;"",N($J915)&lt;0)),"Overdue",IF(OR(AND($I915&lt;&gt;"",N($I915)&lt;=IFERROR(INDEX('Intervals'!$E$4:$E$33,MATCH($B915,'Intervals'!$A$4:$A$33,0)),500)),AND($J915&lt;&gt;"",N($J915)&lt;=IFERROR(INDEX('Intervals'!$F$4:$F$33,MATCH($B915,'Intervals'!$A$4:$A$33,0)),14))),"Due soon","OK")))</f>
        <v/>
      </c>
      <c r="N915" s="15" t="n"/>
      <c r="O915" s="22">
        <f>IF(OR($M915="",$M915="OK"),"",$L915+ROW()/100000)</f>
        <v/>
      </c>
    </row>
    <row r="916">
      <c r="A916" s="15" t="n"/>
      <c r="B916" s="15" t="n"/>
      <c r="C916" s="16">
        <f>IF($B916="","",IFERROR(INDEX('Intervals'!$B$4:$B$33,MATCH($B916,'Intervals'!$A$4:$A$33,0)),""))</f>
        <v/>
      </c>
      <c r="D916" s="17" t="n"/>
      <c r="E916" s="18" t="n"/>
      <c r="F916" s="19">
        <f>IF(OR($B916="",$E916=""),"",IFERROR(IF(AND(INDEX('Intervals'!$G$4:$G$33,MATCH($B916,'Intervals'!$A$4:$A$33,0))&lt;&gt;"No",N(INDEX('Intervals'!$C$4:$C$33,MATCH($B916,'Intervals'!$A$4:$A$33,0)))&gt;0),$E916+N(INDEX('Intervals'!$C$4:$C$33,MATCH($B916,'Intervals'!$A$4:$A$33,0))),""),""))</f>
        <v/>
      </c>
      <c r="G916" s="20">
        <f>IF(OR($B916="",$D916=""),"",IFERROR(IF(AND(INDEX('Intervals'!$G$4:$G$33,MATCH($B916,'Intervals'!$A$4:$A$33,0))&lt;&gt;"No",N(INDEX('Intervals'!$D$4:$D$33,MATCH($B916,'Intervals'!$A$4:$A$33,0)))&gt;0),EDATE($D916,N(INDEX('Intervals'!$D$4:$D$33,MATCH($B916,'Intervals'!$A$4:$A$33,0)))),""),""))</f>
        <v/>
      </c>
      <c r="H916" s="19">
        <f>IF($A916="","",IFERROR(IF(N(INDEX('Cars'!$H$4:$H$103,MATCH($A916,'Cars'!$A$4:$A$103,0)))&gt;0,INDEX('Cars'!$H$4:$H$103,MATCH($A916,'Cars'!$A$4:$A$103,0)),""),""))</f>
        <v/>
      </c>
      <c r="I916" s="19">
        <f>IF(OR($F916="",$H916=""),"",$F916-$H916)</f>
        <v/>
      </c>
      <c r="J916" s="21">
        <f>IF($G916="","",$G916-TODAY())</f>
        <v/>
      </c>
      <c r="K916" s="21">
        <f>IF($I916="","",IFERROR(IF(N(INDEX('Cars'!$J$4:$J$103,MATCH($A916,'Cars'!$A$4:$A$103,0)))&gt;0,ROUND($I916/INDEX('Cars'!$J$4:$J$103,MATCH($A916,'Cars'!$A$4:$A$103,0))*30,0),""),""))</f>
        <v/>
      </c>
      <c r="L916" s="21">
        <f>IF(AND($J916="",$K916=""),"",MIN(IF($J916="",99999,$J916),IF($K916="",99999,$K916)))</f>
        <v/>
      </c>
      <c r="M916" s="16">
        <f>IF(AND($I916="",$J916=""),"",IF(OR(AND($I916&lt;&gt;"",N($I916)&lt;0),AND($J916&lt;&gt;"",N($J916)&lt;0)),"Overdue",IF(OR(AND($I916&lt;&gt;"",N($I916)&lt;=IFERROR(INDEX('Intervals'!$E$4:$E$33,MATCH($B916,'Intervals'!$A$4:$A$33,0)),500)),AND($J916&lt;&gt;"",N($J916)&lt;=IFERROR(INDEX('Intervals'!$F$4:$F$33,MATCH($B916,'Intervals'!$A$4:$A$33,0)),14))),"Due soon","OK")))</f>
        <v/>
      </c>
      <c r="N916" s="15" t="n"/>
      <c r="O916" s="22">
        <f>IF(OR($M916="",$M916="OK"),"",$L916+ROW()/100000)</f>
        <v/>
      </c>
    </row>
    <row r="917">
      <c r="A917" s="15" t="n"/>
      <c r="B917" s="15" t="n"/>
      <c r="C917" s="16">
        <f>IF($B917="","",IFERROR(INDEX('Intervals'!$B$4:$B$33,MATCH($B917,'Intervals'!$A$4:$A$33,0)),""))</f>
        <v/>
      </c>
      <c r="D917" s="17" t="n"/>
      <c r="E917" s="18" t="n"/>
      <c r="F917" s="19">
        <f>IF(OR($B917="",$E917=""),"",IFERROR(IF(AND(INDEX('Intervals'!$G$4:$G$33,MATCH($B917,'Intervals'!$A$4:$A$33,0))&lt;&gt;"No",N(INDEX('Intervals'!$C$4:$C$33,MATCH($B917,'Intervals'!$A$4:$A$33,0)))&gt;0),$E917+N(INDEX('Intervals'!$C$4:$C$33,MATCH($B917,'Intervals'!$A$4:$A$33,0))),""),""))</f>
        <v/>
      </c>
      <c r="G917" s="20">
        <f>IF(OR($B917="",$D917=""),"",IFERROR(IF(AND(INDEX('Intervals'!$G$4:$G$33,MATCH($B917,'Intervals'!$A$4:$A$33,0))&lt;&gt;"No",N(INDEX('Intervals'!$D$4:$D$33,MATCH($B917,'Intervals'!$A$4:$A$33,0)))&gt;0),EDATE($D917,N(INDEX('Intervals'!$D$4:$D$33,MATCH($B917,'Intervals'!$A$4:$A$33,0)))),""),""))</f>
        <v/>
      </c>
      <c r="H917" s="19">
        <f>IF($A917="","",IFERROR(IF(N(INDEX('Cars'!$H$4:$H$103,MATCH($A917,'Cars'!$A$4:$A$103,0)))&gt;0,INDEX('Cars'!$H$4:$H$103,MATCH($A917,'Cars'!$A$4:$A$103,0)),""),""))</f>
        <v/>
      </c>
      <c r="I917" s="19">
        <f>IF(OR($F917="",$H917=""),"",$F917-$H917)</f>
        <v/>
      </c>
      <c r="J917" s="21">
        <f>IF($G917="","",$G917-TODAY())</f>
        <v/>
      </c>
      <c r="K917" s="21">
        <f>IF($I917="","",IFERROR(IF(N(INDEX('Cars'!$J$4:$J$103,MATCH($A917,'Cars'!$A$4:$A$103,0)))&gt;0,ROUND($I917/INDEX('Cars'!$J$4:$J$103,MATCH($A917,'Cars'!$A$4:$A$103,0))*30,0),""),""))</f>
        <v/>
      </c>
      <c r="L917" s="21">
        <f>IF(AND($J917="",$K917=""),"",MIN(IF($J917="",99999,$J917),IF($K917="",99999,$K917)))</f>
        <v/>
      </c>
      <c r="M917" s="16">
        <f>IF(AND($I917="",$J917=""),"",IF(OR(AND($I917&lt;&gt;"",N($I917)&lt;0),AND($J917&lt;&gt;"",N($J917)&lt;0)),"Overdue",IF(OR(AND($I917&lt;&gt;"",N($I917)&lt;=IFERROR(INDEX('Intervals'!$E$4:$E$33,MATCH($B917,'Intervals'!$A$4:$A$33,0)),500)),AND($J917&lt;&gt;"",N($J917)&lt;=IFERROR(INDEX('Intervals'!$F$4:$F$33,MATCH($B917,'Intervals'!$A$4:$A$33,0)),14))),"Due soon","OK")))</f>
        <v/>
      </c>
      <c r="N917" s="15" t="n"/>
      <c r="O917" s="22">
        <f>IF(OR($M917="",$M917="OK"),"",$L917+ROW()/100000)</f>
        <v/>
      </c>
    </row>
    <row r="918">
      <c r="A918" s="15" t="n"/>
      <c r="B918" s="15" t="n"/>
      <c r="C918" s="16">
        <f>IF($B918="","",IFERROR(INDEX('Intervals'!$B$4:$B$33,MATCH($B918,'Intervals'!$A$4:$A$33,0)),""))</f>
        <v/>
      </c>
      <c r="D918" s="17" t="n"/>
      <c r="E918" s="18" t="n"/>
      <c r="F918" s="19">
        <f>IF(OR($B918="",$E918=""),"",IFERROR(IF(AND(INDEX('Intervals'!$G$4:$G$33,MATCH($B918,'Intervals'!$A$4:$A$33,0))&lt;&gt;"No",N(INDEX('Intervals'!$C$4:$C$33,MATCH($B918,'Intervals'!$A$4:$A$33,0)))&gt;0),$E918+N(INDEX('Intervals'!$C$4:$C$33,MATCH($B918,'Intervals'!$A$4:$A$33,0))),""),""))</f>
        <v/>
      </c>
      <c r="G918" s="20">
        <f>IF(OR($B918="",$D918=""),"",IFERROR(IF(AND(INDEX('Intervals'!$G$4:$G$33,MATCH($B918,'Intervals'!$A$4:$A$33,0))&lt;&gt;"No",N(INDEX('Intervals'!$D$4:$D$33,MATCH($B918,'Intervals'!$A$4:$A$33,0)))&gt;0),EDATE($D918,N(INDEX('Intervals'!$D$4:$D$33,MATCH($B918,'Intervals'!$A$4:$A$33,0)))),""),""))</f>
        <v/>
      </c>
      <c r="H918" s="19">
        <f>IF($A918="","",IFERROR(IF(N(INDEX('Cars'!$H$4:$H$103,MATCH($A918,'Cars'!$A$4:$A$103,0)))&gt;0,INDEX('Cars'!$H$4:$H$103,MATCH($A918,'Cars'!$A$4:$A$103,0)),""),""))</f>
        <v/>
      </c>
      <c r="I918" s="19">
        <f>IF(OR($F918="",$H918=""),"",$F918-$H918)</f>
        <v/>
      </c>
      <c r="J918" s="21">
        <f>IF($G918="","",$G918-TODAY())</f>
        <v/>
      </c>
      <c r="K918" s="21">
        <f>IF($I918="","",IFERROR(IF(N(INDEX('Cars'!$J$4:$J$103,MATCH($A918,'Cars'!$A$4:$A$103,0)))&gt;0,ROUND($I918/INDEX('Cars'!$J$4:$J$103,MATCH($A918,'Cars'!$A$4:$A$103,0))*30,0),""),""))</f>
        <v/>
      </c>
      <c r="L918" s="21">
        <f>IF(AND($J918="",$K918=""),"",MIN(IF($J918="",99999,$J918),IF($K918="",99999,$K918)))</f>
        <v/>
      </c>
      <c r="M918" s="16">
        <f>IF(AND($I918="",$J918=""),"",IF(OR(AND($I918&lt;&gt;"",N($I918)&lt;0),AND($J918&lt;&gt;"",N($J918)&lt;0)),"Overdue",IF(OR(AND($I918&lt;&gt;"",N($I918)&lt;=IFERROR(INDEX('Intervals'!$E$4:$E$33,MATCH($B918,'Intervals'!$A$4:$A$33,0)),500)),AND($J918&lt;&gt;"",N($J918)&lt;=IFERROR(INDEX('Intervals'!$F$4:$F$33,MATCH($B918,'Intervals'!$A$4:$A$33,0)),14))),"Due soon","OK")))</f>
        <v/>
      </c>
      <c r="N918" s="15" t="n"/>
      <c r="O918" s="22">
        <f>IF(OR($M918="",$M918="OK"),"",$L918+ROW()/100000)</f>
        <v/>
      </c>
    </row>
    <row r="919">
      <c r="A919" s="15" t="n"/>
      <c r="B919" s="15" t="n"/>
      <c r="C919" s="16">
        <f>IF($B919="","",IFERROR(INDEX('Intervals'!$B$4:$B$33,MATCH($B919,'Intervals'!$A$4:$A$33,0)),""))</f>
        <v/>
      </c>
      <c r="D919" s="17" t="n"/>
      <c r="E919" s="18" t="n"/>
      <c r="F919" s="19">
        <f>IF(OR($B919="",$E919=""),"",IFERROR(IF(AND(INDEX('Intervals'!$G$4:$G$33,MATCH($B919,'Intervals'!$A$4:$A$33,0))&lt;&gt;"No",N(INDEX('Intervals'!$C$4:$C$33,MATCH($B919,'Intervals'!$A$4:$A$33,0)))&gt;0),$E919+N(INDEX('Intervals'!$C$4:$C$33,MATCH($B919,'Intervals'!$A$4:$A$33,0))),""),""))</f>
        <v/>
      </c>
      <c r="G919" s="20">
        <f>IF(OR($B919="",$D919=""),"",IFERROR(IF(AND(INDEX('Intervals'!$G$4:$G$33,MATCH($B919,'Intervals'!$A$4:$A$33,0))&lt;&gt;"No",N(INDEX('Intervals'!$D$4:$D$33,MATCH($B919,'Intervals'!$A$4:$A$33,0)))&gt;0),EDATE($D919,N(INDEX('Intervals'!$D$4:$D$33,MATCH($B919,'Intervals'!$A$4:$A$33,0)))),""),""))</f>
        <v/>
      </c>
      <c r="H919" s="19">
        <f>IF($A919="","",IFERROR(IF(N(INDEX('Cars'!$H$4:$H$103,MATCH($A919,'Cars'!$A$4:$A$103,0)))&gt;0,INDEX('Cars'!$H$4:$H$103,MATCH($A919,'Cars'!$A$4:$A$103,0)),""),""))</f>
        <v/>
      </c>
      <c r="I919" s="19">
        <f>IF(OR($F919="",$H919=""),"",$F919-$H919)</f>
        <v/>
      </c>
      <c r="J919" s="21">
        <f>IF($G919="","",$G919-TODAY())</f>
        <v/>
      </c>
      <c r="K919" s="21">
        <f>IF($I919="","",IFERROR(IF(N(INDEX('Cars'!$J$4:$J$103,MATCH($A919,'Cars'!$A$4:$A$103,0)))&gt;0,ROUND($I919/INDEX('Cars'!$J$4:$J$103,MATCH($A919,'Cars'!$A$4:$A$103,0))*30,0),""),""))</f>
        <v/>
      </c>
      <c r="L919" s="21">
        <f>IF(AND($J919="",$K919=""),"",MIN(IF($J919="",99999,$J919),IF($K919="",99999,$K919)))</f>
        <v/>
      </c>
      <c r="M919" s="16">
        <f>IF(AND($I919="",$J919=""),"",IF(OR(AND($I919&lt;&gt;"",N($I919)&lt;0),AND($J919&lt;&gt;"",N($J919)&lt;0)),"Overdue",IF(OR(AND($I919&lt;&gt;"",N($I919)&lt;=IFERROR(INDEX('Intervals'!$E$4:$E$33,MATCH($B919,'Intervals'!$A$4:$A$33,0)),500)),AND($J919&lt;&gt;"",N($J919)&lt;=IFERROR(INDEX('Intervals'!$F$4:$F$33,MATCH($B919,'Intervals'!$A$4:$A$33,0)),14))),"Due soon","OK")))</f>
        <v/>
      </c>
      <c r="N919" s="15" t="n"/>
      <c r="O919" s="22">
        <f>IF(OR($M919="",$M919="OK"),"",$L919+ROW()/100000)</f>
        <v/>
      </c>
    </row>
    <row r="920">
      <c r="A920" s="15" t="n"/>
      <c r="B920" s="15" t="n"/>
      <c r="C920" s="16">
        <f>IF($B920="","",IFERROR(INDEX('Intervals'!$B$4:$B$33,MATCH($B920,'Intervals'!$A$4:$A$33,0)),""))</f>
        <v/>
      </c>
      <c r="D920" s="17" t="n"/>
      <c r="E920" s="18" t="n"/>
      <c r="F920" s="19">
        <f>IF(OR($B920="",$E920=""),"",IFERROR(IF(AND(INDEX('Intervals'!$G$4:$G$33,MATCH($B920,'Intervals'!$A$4:$A$33,0))&lt;&gt;"No",N(INDEX('Intervals'!$C$4:$C$33,MATCH($B920,'Intervals'!$A$4:$A$33,0)))&gt;0),$E920+N(INDEX('Intervals'!$C$4:$C$33,MATCH($B920,'Intervals'!$A$4:$A$33,0))),""),""))</f>
        <v/>
      </c>
      <c r="G920" s="20">
        <f>IF(OR($B920="",$D920=""),"",IFERROR(IF(AND(INDEX('Intervals'!$G$4:$G$33,MATCH($B920,'Intervals'!$A$4:$A$33,0))&lt;&gt;"No",N(INDEX('Intervals'!$D$4:$D$33,MATCH($B920,'Intervals'!$A$4:$A$33,0)))&gt;0),EDATE($D920,N(INDEX('Intervals'!$D$4:$D$33,MATCH($B920,'Intervals'!$A$4:$A$33,0)))),""),""))</f>
        <v/>
      </c>
      <c r="H920" s="19">
        <f>IF($A920="","",IFERROR(IF(N(INDEX('Cars'!$H$4:$H$103,MATCH($A920,'Cars'!$A$4:$A$103,0)))&gt;0,INDEX('Cars'!$H$4:$H$103,MATCH($A920,'Cars'!$A$4:$A$103,0)),""),""))</f>
        <v/>
      </c>
      <c r="I920" s="19">
        <f>IF(OR($F920="",$H920=""),"",$F920-$H920)</f>
        <v/>
      </c>
      <c r="J920" s="21">
        <f>IF($G920="","",$G920-TODAY())</f>
        <v/>
      </c>
      <c r="K920" s="21">
        <f>IF($I920="","",IFERROR(IF(N(INDEX('Cars'!$J$4:$J$103,MATCH($A920,'Cars'!$A$4:$A$103,0)))&gt;0,ROUND($I920/INDEX('Cars'!$J$4:$J$103,MATCH($A920,'Cars'!$A$4:$A$103,0))*30,0),""),""))</f>
        <v/>
      </c>
      <c r="L920" s="21">
        <f>IF(AND($J920="",$K920=""),"",MIN(IF($J920="",99999,$J920),IF($K920="",99999,$K920)))</f>
        <v/>
      </c>
      <c r="M920" s="16">
        <f>IF(AND($I920="",$J920=""),"",IF(OR(AND($I920&lt;&gt;"",N($I920)&lt;0),AND($J920&lt;&gt;"",N($J920)&lt;0)),"Overdue",IF(OR(AND($I920&lt;&gt;"",N($I920)&lt;=IFERROR(INDEX('Intervals'!$E$4:$E$33,MATCH($B920,'Intervals'!$A$4:$A$33,0)),500)),AND($J920&lt;&gt;"",N($J920)&lt;=IFERROR(INDEX('Intervals'!$F$4:$F$33,MATCH($B920,'Intervals'!$A$4:$A$33,0)),14))),"Due soon","OK")))</f>
        <v/>
      </c>
      <c r="N920" s="15" t="n"/>
      <c r="O920" s="22">
        <f>IF(OR($M920="",$M920="OK"),"",$L920+ROW()/100000)</f>
        <v/>
      </c>
    </row>
    <row r="921">
      <c r="A921" s="15" t="n"/>
      <c r="B921" s="15" t="n"/>
      <c r="C921" s="16">
        <f>IF($B921="","",IFERROR(INDEX('Intervals'!$B$4:$B$33,MATCH($B921,'Intervals'!$A$4:$A$33,0)),""))</f>
        <v/>
      </c>
      <c r="D921" s="17" t="n"/>
      <c r="E921" s="18" t="n"/>
      <c r="F921" s="19">
        <f>IF(OR($B921="",$E921=""),"",IFERROR(IF(AND(INDEX('Intervals'!$G$4:$G$33,MATCH($B921,'Intervals'!$A$4:$A$33,0))&lt;&gt;"No",N(INDEX('Intervals'!$C$4:$C$33,MATCH($B921,'Intervals'!$A$4:$A$33,0)))&gt;0),$E921+N(INDEX('Intervals'!$C$4:$C$33,MATCH($B921,'Intervals'!$A$4:$A$33,0))),""),""))</f>
        <v/>
      </c>
      <c r="G921" s="20">
        <f>IF(OR($B921="",$D921=""),"",IFERROR(IF(AND(INDEX('Intervals'!$G$4:$G$33,MATCH($B921,'Intervals'!$A$4:$A$33,0))&lt;&gt;"No",N(INDEX('Intervals'!$D$4:$D$33,MATCH($B921,'Intervals'!$A$4:$A$33,0)))&gt;0),EDATE($D921,N(INDEX('Intervals'!$D$4:$D$33,MATCH($B921,'Intervals'!$A$4:$A$33,0)))),""),""))</f>
        <v/>
      </c>
      <c r="H921" s="19">
        <f>IF($A921="","",IFERROR(IF(N(INDEX('Cars'!$H$4:$H$103,MATCH($A921,'Cars'!$A$4:$A$103,0)))&gt;0,INDEX('Cars'!$H$4:$H$103,MATCH($A921,'Cars'!$A$4:$A$103,0)),""),""))</f>
        <v/>
      </c>
      <c r="I921" s="19">
        <f>IF(OR($F921="",$H921=""),"",$F921-$H921)</f>
        <v/>
      </c>
      <c r="J921" s="21">
        <f>IF($G921="","",$G921-TODAY())</f>
        <v/>
      </c>
      <c r="K921" s="21">
        <f>IF($I921="","",IFERROR(IF(N(INDEX('Cars'!$J$4:$J$103,MATCH($A921,'Cars'!$A$4:$A$103,0)))&gt;0,ROUND($I921/INDEX('Cars'!$J$4:$J$103,MATCH($A921,'Cars'!$A$4:$A$103,0))*30,0),""),""))</f>
        <v/>
      </c>
      <c r="L921" s="21">
        <f>IF(AND($J921="",$K921=""),"",MIN(IF($J921="",99999,$J921),IF($K921="",99999,$K921)))</f>
        <v/>
      </c>
      <c r="M921" s="16">
        <f>IF(AND($I921="",$J921=""),"",IF(OR(AND($I921&lt;&gt;"",N($I921)&lt;0),AND($J921&lt;&gt;"",N($J921)&lt;0)),"Overdue",IF(OR(AND($I921&lt;&gt;"",N($I921)&lt;=IFERROR(INDEX('Intervals'!$E$4:$E$33,MATCH($B921,'Intervals'!$A$4:$A$33,0)),500)),AND($J921&lt;&gt;"",N($J921)&lt;=IFERROR(INDEX('Intervals'!$F$4:$F$33,MATCH($B921,'Intervals'!$A$4:$A$33,0)),14))),"Due soon","OK")))</f>
        <v/>
      </c>
      <c r="N921" s="15" t="n"/>
      <c r="O921" s="22">
        <f>IF(OR($M921="",$M921="OK"),"",$L921+ROW()/100000)</f>
        <v/>
      </c>
    </row>
    <row r="922">
      <c r="A922" s="15" t="n"/>
      <c r="B922" s="15" t="n"/>
      <c r="C922" s="16">
        <f>IF($B922="","",IFERROR(INDEX('Intervals'!$B$4:$B$33,MATCH($B922,'Intervals'!$A$4:$A$33,0)),""))</f>
        <v/>
      </c>
      <c r="D922" s="17" t="n"/>
      <c r="E922" s="18" t="n"/>
      <c r="F922" s="19">
        <f>IF(OR($B922="",$E922=""),"",IFERROR(IF(AND(INDEX('Intervals'!$G$4:$G$33,MATCH($B922,'Intervals'!$A$4:$A$33,0))&lt;&gt;"No",N(INDEX('Intervals'!$C$4:$C$33,MATCH($B922,'Intervals'!$A$4:$A$33,0)))&gt;0),$E922+N(INDEX('Intervals'!$C$4:$C$33,MATCH($B922,'Intervals'!$A$4:$A$33,0))),""),""))</f>
        <v/>
      </c>
      <c r="G922" s="20">
        <f>IF(OR($B922="",$D922=""),"",IFERROR(IF(AND(INDEX('Intervals'!$G$4:$G$33,MATCH($B922,'Intervals'!$A$4:$A$33,0))&lt;&gt;"No",N(INDEX('Intervals'!$D$4:$D$33,MATCH($B922,'Intervals'!$A$4:$A$33,0)))&gt;0),EDATE($D922,N(INDEX('Intervals'!$D$4:$D$33,MATCH($B922,'Intervals'!$A$4:$A$33,0)))),""),""))</f>
        <v/>
      </c>
      <c r="H922" s="19">
        <f>IF($A922="","",IFERROR(IF(N(INDEX('Cars'!$H$4:$H$103,MATCH($A922,'Cars'!$A$4:$A$103,0)))&gt;0,INDEX('Cars'!$H$4:$H$103,MATCH($A922,'Cars'!$A$4:$A$103,0)),""),""))</f>
        <v/>
      </c>
      <c r="I922" s="19">
        <f>IF(OR($F922="",$H922=""),"",$F922-$H922)</f>
        <v/>
      </c>
      <c r="J922" s="21">
        <f>IF($G922="","",$G922-TODAY())</f>
        <v/>
      </c>
      <c r="K922" s="21">
        <f>IF($I922="","",IFERROR(IF(N(INDEX('Cars'!$J$4:$J$103,MATCH($A922,'Cars'!$A$4:$A$103,0)))&gt;0,ROUND($I922/INDEX('Cars'!$J$4:$J$103,MATCH($A922,'Cars'!$A$4:$A$103,0))*30,0),""),""))</f>
        <v/>
      </c>
      <c r="L922" s="21">
        <f>IF(AND($J922="",$K922=""),"",MIN(IF($J922="",99999,$J922),IF($K922="",99999,$K922)))</f>
        <v/>
      </c>
      <c r="M922" s="16">
        <f>IF(AND($I922="",$J922=""),"",IF(OR(AND($I922&lt;&gt;"",N($I922)&lt;0),AND($J922&lt;&gt;"",N($J922)&lt;0)),"Overdue",IF(OR(AND($I922&lt;&gt;"",N($I922)&lt;=IFERROR(INDEX('Intervals'!$E$4:$E$33,MATCH($B922,'Intervals'!$A$4:$A$33,0)),500)),AND($J922&lt;&gt;"",N($J922)&lt;=IFERROR(INDEX('Intervals'!$F$4:$F$33,MATCH($B922,'Intervals'!$A$4:$A$33,0)),14))),"Due soon","OK")))</f>
        <v/>
      </c>
      <c r="N922" s="15" t="n"/>
      <c r="O922" s="22">
        <f>IF(OR($M922="",$M922="OK"),"",$L922+ROW()/100000)</f>
        <v/>
      </c>
    </row>
    <row r="923">
      <c r="A923" s="15" t="n"/>
      <c r="B923" s="15" t="n"/>
      <c r="C923" s="16">
        <f>IF($B923="","",IFERROR(INDEX('Intervals'!$B$4:$B$33,MATCH($B923,'Intervals'!$A$4:$A$33,0)),""))</f>
        <v/>
      </c>
      <c r="D923" s="17" t="n"/>
      <c r="E923" s="18" t="n"/>
      <c r="F923" s="19">
        <f>IF(OR($B923="",$E923=""),"",IFERROR(IF(AND(INDEX('Intervals'!$G$4:$G$33,MATCH($B923,'Intervals'!$A$4:$A$33,0))&lt;&gt;"No",N(INDEX('Intervals'!$C$4:$C$33,MATCH($B923,'Intervals'!$A$4:$A$33,0)))&gt;0),$E923+N(INDEX('Intervals'!$C$4:$C$33,MATCH($B923,'Intervals'!$A$4:$A$33,0))),""),""))</f>
        <v/>
      </c>
      <c r="G923" s="20">
        <f>IF(OR($B923="",$D923=""),"",IFERROR(IF(AND(INDEX('Intervals'!$G$4:$G$33,MATCH($B923,'Intervals'!$A$4:$A$33,0))&lt;&gt;"No",N(INDEX('Intervals'!$D$4:$D$33,MATCH($B923,'Intervals'!$A$4:$A$33,0)))&gt;0),EDATE($D923,N(INDEX('Intervals'!$D$4:$D$33,MATCH($B923,'Intervals'!$A$4:$A$33,0)))),""),""))</f>
        <v/>
      </c>
      <c r="H923" s="19">
        <f>IF($A923="","",IFERROR(IF(N(INDEX('Cars'!$H$4:$H$103,MATCH($A923,'Cars'!$A$4:$A$103,0)))&gt;0,INDEX('Cars'!$H$4:$H$103,MATCH($A923,'Cars'!$A$4:$A$103,0)),""),""))</f>
        <v/>
      </c>
      <c r="I923" s="19">
        <f>IF(OR($F923="",$H923=""),"",$F923-$H923)</f>
        <v/>
      </c>
      <c r="J923" s="21">
        <f>IF($G923="","",$G923-TODAY())</f>
        <v/>
      </c>
      <c r="K923" s="21">
        <f>IF($I923="","",IFERROR(IF(N(INDEX('Cars'!$J$4:$J$103,MATCH($A923,'Cars'!$A$4:$A$103,0)))&gt;0,ROUND($I923/INDEX('Cars'!$J$4:$J$103,MATCH($A923,'Cars'!$A$4:$A$103,0))*30,0),""),""))</f>
        <v/>
      </c>
      <c r="L923" s="21">
        <f>IF(AND($J923="",$K923=""),"",MIN(IF($J923="",99999,$J923),IF($K923="",99999,$K923)))</f>
        <v/>
      </c>
      <c r="M923" s="16">
        <f>IF(AND($I923="",$J923=""),"",IF(OR(AND($I923&lt;&gt;"",N($I923)&lt;0),AND($J923&lt;&gt;"",N($J923)&lt;0)),"Overdue",IF(OR(AND($I923&lt;&gt;"",N($I923)&lt;=IFERROR(INDEX('Intervals'!$E$4:$E$33,MATCH($B923,'Intervals'!$A$4:$A$33,0)),500)),AND($J923&lt;&gt;"",N($J923)&lt;=IFERROR(INDEX('Intervals'!$F$4:$F$33,MATCH($B923,'Intervals'!$A$4:$A$33,0)),14))),"Due soon","OK")))</f>
        <v/>
      </c>
      <c r="N923" s="15" t="n"/>
      <c r="O923" s="22">
        <f>IF(OR($M923="",$M923="OK"),"",$L923+ROW()/100000)</f>
        <v/>
      </c>
    </row>
    <row r="924">
      <c r="A924" s="15" t="n"/>
      <c r="B924" s="15" t="n"/>
      <c r="C924" s="16">
        <f>IF($B924="","",IFERROR(INDEX('Intervals'!$B$4:$B$33,MATCH($B924,'Intervals'!$A$4:$A$33,0)),""))</f>
        <v/>
      </c>
      <c r="D924" s="17" t="n"/>
      <c r="E924" s="18" t="n"/>
      <c r="F924" s="19">
        <f>IF(OR($B924="",$E924=""),"",IFERROR(IF(AND(INDEX('Intervals'!$G$4:$G$33,MATCH($B924,'Intervals'!$A$4:$A$33,0))&lt;&gt;"No",N(INDEX('Intervals'!$C$4:$C$33,MATCH($B924,'Intervals'!$A$4:$A$33,0)))&gt;0),$E924+N(INDEX('Intervals'!$C$4:$C$33,MATCH($B924,'Intervals'!$A$4:$A$33,0))),""),""))</f>
        <v/>
      </c>
      <c r="G924" s="20">
        <f>IF(OR($B924="",$D924=""),"",IFERROR(IF(AND(INDEX('Intervals'!$G$4:$G$33,MATCH($B924,'Intervals'!$A$4:$A$33,0))&lt;&gt;"No",N(INDEX('Intervals'!$D$4:$D$33,MATCH($B924,'Intervals'!$A$4:$A$33,0)))&gt;0),EDATE($D924,N(INDEX('Intervals'!$D$4:$D$33,MATCH($B924,'Intervals'!$A$4:$A$33,0)))),""),""))</f>
        <v/>
      </c>
      <c r="H924" s="19">
        <f>IF($A924="","",IFERROR(IF(N(INDEX('Cars'!$H$4:$H$103,MATCH($A924,'Cars'!$A$4:$A$103,0)))&gt;0,INDEX('Cars'!$H$4:$H$103,MATCH($A924,'Cars'!$A$4:$A$103,0)),""),""))</f>
        <v/>
      </c>
      <c r="I924" s="19">
        <f>IF(OR($F924="",$H924=""),"",$F924-$H924)</f>
        <v/>
      </c>
      <c r="J924" s="21">
        <f>IF($G924="","",$G924-TODAY())</f>
        <v/>
      </c>
      <c r="K924" s="21">
        <f>IF($I924="","",IFERROR(IF(N(INDEX('Cars'!$J$4:$J$103,MATCH($A924,'Cars'!$A$4:$A$103,0)))&gt;0,ROUND($I924/INDEX('Cars'!$J$4:$J$103,MATCH($A924,'Cars'!$A$4:$A$103,0))*30,0),""),""))</f>
        <v/>
      </c>
      <c r="L924" s="21">
        <f>IF(AND($J924="",$K924=""),"",MIN(IF($J924="",99999,$J924),IF($K924="",99999,$K924)))</f>
        <v/>
      </c>
      <c r="M924" s="16">
        <f>IF(AND($I924="",$J924=""),"",IF(OR(AND($I924&lt;&gt;"",N($I924)&lt;0),AND($J924&lt;&gt;"",N($J924)&lt;0)),"Overdue",IF(OR(AND($I924&lt;&gt;"",N($I924)&lt;=IFERROR(INDEX('Intervals'!$E$4:$E$33,MATCH($B924,'Intervals'!$A$4:$A$33,0)),500)),AND($J924&lt;&gt;"",N($J924)&lt;=IFERROR(INDEX('Intervals'!$F$4:$F$33,MATCH($B924,'Intervals'!$A$4:$A$33,0)),14))),"Due soon","OK")))</f>
        <v/>
      </c>
      <c r="N924" s="15" t="n"/>
      <c r="O924" s="22">
        <f>IF(OR($M924="",$M924="OK"),"",$L924+ROW()/100000)</f>
        <v/>
      </c>
    </row>
    <row r="925">
      <c r="A925" s="15" t="n"/>
      <c r="B925" s="15" t="n"/>
      <c r="C925" s="16">
        <f>IF($B925="","",IFERROR(INDEX('Intervals'!$B$4:$B$33,MATCH($B925,'Intervals'!$A$4:$A$33,0)),""))</f>
        <v/>
      </c>
      <c r="D925" s="17" t="n"/>
      <c r="E925" s="18" t="n"/>
      <c r="F925" s="19">
        <f>IF(OR($B925="",$E925=""),"",IFERROR(IF(AND(INDEX('Intervals'!$G$4:$G$33,MATCH($B925,'Intervals'!$A$4:$A$33,0))&lt;&gt;"No",N(INDEX('Intervals'!$C$4:$C$33,MATCH($B925,'Intervals'!$A$4:$A$33,0)))&gt;0),$E925+N(INDEX('Intervals'!$C$4:$C$33,MATCH($B925,'Intervals'!$A$4:$A$33,0))),""),""))</f>
        <v/>
      </c>
      <c r="G925" s="20">
        <f>IF(OR($B925="",$D925=""),"",IFERROR(IF(AND(INDEX('Intervals'!$G$4:$G$33,MATCH($B925,'Intervals'!$A$4:$A$33,0))&lt;&gt;"No",N(INDEX('Intervals'!$D$4:$D$33,MATCH($B925,'Intervals'!$A$4:$A$33,0)))&gt;0),EDATE($D925,N(INDEX('Intervals'!$D$4:$D$33,MATCH($B925,'Intervals'!$A$4:$A$33,0)))),""),""))</f>
        <v/>
      </c>
      <c r="H925" s="19">
        <f>IF($A925="","",IFERROR(IF(N(INDEX('Cars'!$H$4:$H$103,MATCH($A925,'Cars'!$A$4:$A$103,0)))&gt;0,INDEX('Cars'!$H$4:$H$103,MATCH($A925,'Cars'!$A$4:$A$103,0)),""),""))</f>
        <v/>
      </c>
      <c r="I925" s="19">
        <f>IF(OR($F925="",$H925=""),"",$F925-$H925)</f>
        <v/>
      </c>
      <c r="J925" s="21">
        <f>IF($G925="","",$G925-TODAY())</f>
        <v/>
      </c>
      <c r="K925" s="21">
        <f>IF($I925="","",IFERROR(IF(N(INDEX('Cars'!$J$4:$J$103,MATCH($A925,'Cars'!$A$4:$A$103,0)))&gt;0,ROUND($I925/INDEX('Cars'!$J$4:$J$103,MATCH($A925,'Cars'!$A$4:$A$103,0))*30,0),""),""))</f>
        <v/>
      </c>
      <c r="L925" s="21">
        <f>IF(AND($J925="",$K925=""),"",MIN(IF($J925="",99999,$J925),IF($K925="",99999,$K925)))</f>
        <v/>
      </c>
      <c r="M925" s="16">
        <f>IF(AND($I925="",$J925=""),"",IF(OR(AND($I925&lt;&gt;"",N($I925)&lt;0),AND($J925&lt;&gt;"",N($J925)&lt;0)),"Overdue",IF(OR(AND($I925&lt;&gt;"",N($I925)&lt;=IFERROR(INDEX('Intervals'!$E$4:$E$33,MATCH($B925,'Intervals'!$A$4:$A$33,0)),500)),AND($J925&lt;&gt;"",N($J925)&lt;=IFERROR(INDEX('Intervals'!$F$4:$F$33,MATCH($B925,'Intervals'!$A$4:$A$33,0)),14))),"Due soon","OK")))</f>
        <v/>
      </c>
      <c r="N925" s="15" t="n"/>
      <c r="O925" s="22">
        <f>IF(OR($M925="",$M925="OK"),"",$L925+ROW()/100000)</f>
        <v/>
      </c>
    </row>
    <row r="926">
      <c r="A926" s="15" t="n"/>
      <c r="B926" s="15" t="n"/>
      <c r="C926" s="16">
        <f>IF($B926="","",IFERROR(INDEX('Intervals'!$B$4:$B$33,MATCH($B926,'Intervals'!$A$4:$A$33,0)),""))</f>
        <v/>
      </c>
      <c r="D926" s="17" t="n"/>
      <c r="E926" s="18" t="n"/>
      <c r="F926" s="19">
        <f>IF(OR($B926="",$E926=""),"",IFERROR(IF(AND(INDEX('Intervals'!$G$4:$G$33,MATCH($B926,'Intervals'!$A$4:$A$33,0))&lt;&gt;"No",N(INDEX('Intervals'!$C$4:$C$33,MATCH($B926,'Intervals'!$A$4:$A$33,0)))&gt;0),$E926+N(INDEX('Intervals'!$C$4:$C$33,MATCH($B926,'Intervals'!$A$4:$A$33,0))),""),""))</f>
        <v/>
      </c>
      <c r="G926" s="20">
        <f>IF(OR($B926="",$D926=""),"",IFERROR(IF(AND(INDEX('Intervals'!$G$4:$G$33,MATCH($B926,'Intervals'!$A$4:$A$33,0))&lt;&gt;"No",N(INDEX('Intervals'!$D$4:$D$33,MATCH($B926,'Intervals'!$A$4:$A$33,0)))&gt;0),EDATE($D926,N(INDEX('Intervals'!$D$4:$D$33,MATCH($B926,'Intervals'!$A$4:$A$33,0)))),""),""))</f>
        <v/>
      </c>
      <c r="H926" s="19">
        <f>IF($A926="","",IFERROR(IF(N(INDEX('Cars'!$H$4:$H$103,MATCH($A926,'Cars'!$A$4:$A$103,0)))&gt;0,INDEX('Cars'!$H$4:$H$103,MATCH($A926,'Cars'!$A$4:$A$103,0)),""),""))</f>
        <v/>
      </c>
      <c r="I926" s="19">
        <f>IF(OR($F926="",$H926=""),"",$F926-$H926)</f>
        <v/>
      </c>
      <c r="J926" s="21">
        <f>IF($G926="","",$G926-TODAY())</f>
        <v/>
      </c>
      <c r="K926" s="21">
        <f>IF($I926="","",IFERROR(IF(N(INDEX('Cars'!$J$4:$J$103,MATCH($A926,'Cars'!$A$4:$A$103,0)))&gt;0,ROUND($I926/INDEX('Cars'!$J$4:$J$103,MATCH($A926,'Cars'!$A$4:$A$103,0))*30,0),""),""))</f>
        <v/>
      </c>
      <c r="L926" s="21">
        <f>IF(AND($J926="",$K926=""),"",MIN(IF($J926="",99999,$J926),IF($K926="",99999,$K926)))</f>
        <v/>
      </c>
      <c r="M926" s="16">
        <f>IF(AND($I926="",$J926=""),"",IF(OR(AND($I926&lt;&gt;"",N($I926)&lt;0),AND($J926&lt;&gt;"",N($J926)&lt;0)),"Overdue",IF(OR(AND($I926&lt;&gt;"",N($I926)&lt;=IFERROR(INDEX('Intervals'!$E$4:$E$33,MATCH($B926,'Intervals'!$A$4:$A$33,0)),500)),AND($J926&lt;&gt;"",N($J926)&lt;=IFERROR(INDEX('Intervals'!$F$4:$F$33,MATCH($B926,'Intervals'!$A$4:$A$33,0)),14))),"Due soon","OK")))</f>
        <v/>
      </c>
      <c r="N926" s="15" t="n"/>
      <c r="O926" s="22">
        <f>IF(OR($M926="",$M926="OK"),"",$L926+ROW()/100000)</f>
        <v/>
      </c>
    </row>
    <row r="927">
      <c r="A927" s="15" t="n"/>
      <c r="B927" s="15" t="n"/>
      <c r="C927" s="16">
        <f>IF($B927="","",IFERROR(INDEX('Intervals'!$B$4:$B$33,MATCH($B927,'Intervals'!$A$4:$A$33,0)),""))</f>
        <v/>
      </c>
      <c r="D927" s="17" t="n"/>
      <c r="E927" s="18" t="n"/>
      <c r="F927" s="19">
        <f>IF(OR($B927="",$E927=""),"",IFERROR(IF(AND(INDEX('Intervals'!$G$4:$G$33,MATCH($B927,'Intervals'!$A$4:$A$33,0))&lt;&gt;"No",N(INDEX('Intervals'!$C$4:$C$33,MATCH($B927,'Intervals'!$A$4:$A$33,0)))&gt;0),$E927+N(INDEX('Intervals'!$C$4:$C$33,MATCH($B927,'Intervals'!$A$4:$A$33,0))),""),""))</f>
        <v/>
      </c>
      <c r="G927" s="20">
        <f>IF(OR($B927="",$D927=""),"",IFERROR(IF(AND(INDEX('Intervals'!$G$4:$G$33,MATCH($B927,'Intervals'!$A$4:$A$33,0))&lt;&gt;"No",N(INDEX('Intervals'!$D$4:$D$33,MATCH($B927,'Intervals'!$A$4:$A$33,0)))&gt;0),EDATE($D927,N(INDEX('Intervals'!$D$4:$D$33,MATCH($B927,'Intervals'!$A$4:$A$33,0)))),""),""))</f>
        <v/>
      </c>
      <c r="H927" s="19">
        <f>IF($A927="","",IFERROR(IF(N(INDEX('Cars'!$H$4:$H$103,MATCH($A927,'Cars'!$A$4:$A$103,0)))&gt;0,INDEX('Cars'!$H$4:$H$103,MATCH($A927,'Cars'!$A$4:$A$103,0)),""),""))</f>
        <v/>
      </c>
      <c r="I927" s="19">
        <f>IF(OR($F927="",$H927=""),"",$F927-$H927)</f>
        <v/>
      </c>
      <c r="J927" s="21">
        <f>IF($G927="","",$G927-TODAY())</f>
        <v/>
      </c>
      <c r="K927" s="21">
        <f>IF($I927="","",IFERROR(IF(N(INDEX('Cars'!$J$4:$J$103,MATCH($A927,'Cars'!$A$4:$A$103,0)))&gt;0,ROUND($I927/INDEX('Cars'!$J$4:$J$103,MATCH($A927,'Cars'!$A$4:$A$103,0))*30,0),""),""))</f>
        <v/>
      </c>
      <c r="L927" s="21">
        <f>IF(AND($J927="",$K927=""),"",MIN(IF($J927="",99999,$J927),IF($K927="",99999,$K927)))</f>
        <v/>
      </c>
      <c r="M927" s="16">
        <f>IF(AND($I927="",$J927=""),"",IF(OR(AND($I927&lt;&gt;"",N($I927)&lt;0),AND($J927&lt;&gt;"",N($J927)&lt;0)),"Overdue",IF(OR(AND($I927&lt;&gt;"",N($I927)&lt;=IFERROR(INDEX('Intervals'!$E$4:$E$33,MATCH($B927,'Intervals'!$A$4:$A$33,0)),500)),AND($J927&lt;&gt;"",N($J927)&lt;=IFERROR(INDEX('Intervals'!$F$4:$F$33,MATCH($B927,'Intervals'!$A$4:$A$33,0)),14))),"Due soon","OK")))</f>
        <v/>
      </c>
      <c r="N927" s="15" t="n"/>
      <c r="O927" s="22">
        <f>IF(OR($M927="",$M927="OK"),"",$L927+ROW()/100000)</f>
        <v/>
      </c>
    </row>
    <row r="928">
      <c r="A928" s="15" t="n"/>
      <c r="B928" s="15" t="n"/>
      <c r="C928" s="16">
        <f>IF($B928="","",IFERROR(INDEX('Intervals'!$B$4:$B$33,MATCH($B928,'Intervals'!$A$4:$A$33,0)),""))</f>
        <v/>
      </c>
      <c r="D928" s="17" t="n"/>
      <c r="E928" s="18" t="n"/>
      <c r="F928" s="19">
        <f>IF(OR($B928="",$E928=""),"",IFERROR(IF(AND(INDEX('Intervals'!$G$4:$G$33,MATCH($B928,'Intervals'!$A$4:$A$33,0))&lt;&gt;"No",N(INDEX('Intervals'!$C$4:$C$33,MATCH($B928,'Intervals'!$A$4:$A$33,0)))&gt;0),$E928+N(INDEX('Intervals'!$C$4:$C$33,MATCH($B928,'Intervals'!$A$4:$A$33,0))),""),""))</f>
        <v/>
      </c>
      <c r="G928" s="20">
        <f>IF(OR($B928="",$D928=""),"",IFERROR(IF(AND(INDEX('Intervals'!$G$4:$G$33,MATCH($B928,'Intervals'!$A$4:$A$33,0))&lt;&gt;"No",N(INDEX('Intervals'!$D$4:$D$33,MATCH($B928,'Intervals'!$A$4:$A$33,0)))&gt;0),EDATE($D928,N(INDEX('Intervals'!$D$4:$D$33,MATCH($B928,'Intervals'!$A$4:$A$33,0)))),""),""))</f>
        <v/>
      </c>
      <c r="H928" s="19">
        <f>IF($A928="","",IFERROR(IF(N(INDEX('Cars'!$H$4:$H$103,MATCH($A928,'Cars'!$A$4:$A$103,0)))&gt;0,INDEX('Cars'!$H$4:$H$103,MATCH($A928,'Cars'!$A$4:$A$103,0)),""),""))</f>
        <v/>
      </c>
      <c r="I928" s="19">
        <f>IF(OR($F928="",$H928=""),"",$F928-$H928)</f>
        <v/>
      </c>
      <c r="J928" s="21">
        <f>IF($G928="","",$G928-TODAY())</f>
        <v/>
      </c>
      <c r="K928" s="21">
        <f>IF($I928="","",IFERROR(IF(N(INDEX('Cars'!$J$4:$J$103,MATCH($A928,'Cars'!$A$4:$A$103,0)))&gt;0,ROUND($I928/INDEX('Cars'!$J$4:$J$103,MATCH($A928,'Cars'!$A$4:$A$103,0))*30,0),""),""))</f>
        <v/>
      </c>
      <c r="L928" s="21">
        <f>IF(AND($J928="",$K928=""),"",MIN(IF($J928="",99999,$J928),IF($K928="",99999,$K928)))</f>
        <v/>
      </c>
      <c r="M928" s="16">
        <f>IF(AND($I928="",$J928=""),"",IF(OR(AND($I928&lt;&gt;"",N($I928)&lt;0),AND($J928&lt;&gt;"",N($J928)&lt;0)),"Overdue",IF(OR(AND($I928&lt;&gt;"",N($I928)&lt;=IFERROR(INDEX('Intervals'!$E$4:$E$33,MATCH($B928,'Intervals'!$A$4:$A$33,0)),500)),AND($J928&lt;&gt;"",N($J928)&lt;=IFERROR(INDEX('Intervals'!$F$4:$F$33,MATCH($B928,'Intervals'!$A$4:$A$33,0)),14))),"Due soon","OK")))</f>
        <v/>
      </c>
      <c r="N928" s="15" t="n"/>
      <c r="O928" s="22">
        <f>IF(OR($M928="",$M928="OK"),"",$L928+ROW()/100000)</f>
        <v/>
      </c>
    </row>
    <row r="929">
      <c r="A929" s="15" t="n"/>
      <c r="B929" s="15" t="n"/>
      <c r="C929" s="16">
        <f>IF($B929="","",IFERROR(INDEX('Intervals'!$B$4:$B$33,MATCH($B929,'Intervals'!$A$4:$A$33,0)),""))</f>
        <v/>
      </c>
      <c r="D929" s="17" t="n"/>
      <c r="E929" s="18" t="n"/>
      <c r="F929" s="19">
        <f>IF(OR($B929="",$E929=""),"",IFERROR(IF(AND(INDEX('Intervals'!$G$4:$G$33,MATCH($B929,'Intervals'!$A$4:$A$33,0))&lt;&gt;"No",N(INDEX('Intervals'!$C$4:$C$33,MATCH($B929,'Intervals'!$A$4:$A$33,0)))&gt;0),$E929+N(INDEX('Intervals'!$C$4:$C$33,MATCH($B929,'Intervals'!$A$4:$A$33,0))),""),""))</f>
        <v/>
      </c>
      <c r="G929" s="20">
        <f>IF(OR($B929="",$D929=""),"",IFERROR(IF(AND(INDEX('Intervals'!$G$4:$G$33,MATCH($B929,'Intervals'!$A$4:$A$33,0))&lt;&gt;"No",N(INDEX('Intervals'!$D$4:$D$33,MATCH($B929,'Intervals'!$A$4:$A$33,0)))&gt;0),EDATE($D929,N(INDEX('Intervals'!$D$4:$D$33,MATCH($B929,'Intervals'!$A$4:$A$33,0)))),""),""))</f>
        <v/>
      </c>
      <c r="H929" s="19">
        <f>IF($A929="","",IFERROR(IF(N(INDEX('Cars'!$H$4:$H$103,MATCH($A929,'Cars'!$A$4:$A$103,0)))&gt;0,INDEX('Cars'!$H$4:$H$103,MATCH($A929,'Cars'!$A$4:$A$103,0)),""),""))</f>
        <v/>
      </c>
      <c r="I929" s="19">
        <f>IF(OR($F929="",$H929=""),"",$F929-$H929)</f>
        <v/>
      </c>
      <c r="J929" s="21">
        <f>IF($G929="","",$G929-TODAY())</f>
        <v/>
      </c>
      <c r="K929" s="21">
        <f>IF($I929="","",IFERROR(IF(N(INDEX('Cars'!$J$4:$J$103,MATCH($A929,'Cars'!$A$4:$A$103,0)))&gt;0,ROUND($I929/INDEX('Cars'!$J$4:$J$103,MATCH($A929,'Cars'!$A$4:$A$103,0))*30,0),""),""))</f>
        <v/>
      </c>
      <c r="L929" s="21">
        <f>IF(AND($J929="",$K929=""),"",MIN(IF($J929="",99999,$J929),IF($K929="",99999,$K929)))</f>
        <v/>
      </c>
      <c r="M929" s="16">
        <f>IF(AND($I929="",$J929=""),"",IF(OR(AND($I929&lt;&gt;"",N($I929)&lt;0),AND($J929&lt;&gt;"",N($J929)&lt;0)),"Overdue",IF(OR(AND($I929&lt;&gt;"",N($I929)&lt;=IFERROR(INDEX('Intervals'!$E$4:$E$33,MATCH($B929,'Intervals'!$A$4:$A$33,0)),500)),AND($J929&lt;&gt;"",N($J929)&lt;=IFERROR(INDEX('Intervals'!$F$4:$F$33,MATCH($B929,'Intervals'!$A$4:$A$33,0)),14))),"Due soon","OK")))</f>
        <v/>
      </c>
      <c r="N929" s="15" t="n"/>
      <c r="O929" s="22">
        <f>IF(OR($M929="",$M929="OK"),"",$L929+ROW()/100000)</f>
        <v/>
      </c>
    </row>
    <row r="930">
      <c r="A930" s="15" t="n"/>
      <c r="B930" s="15" t="n"/>
      <c r="C930" s="16">
        <f>IF($B930="","",IFERROR(INDEX('Intervals'!$B$4:$B$33,MATCH($B930,'Intervals'!$A$4:$A$33,0)),""))</f>
        <v/>
      </c>
      <c r="D930" s="17" t="n"/>
      <c r="E930" s="18" t="n"/>
      <c r="F930" s="19">
        <f>IF(OR($B930="",$E930=""),"",IFERROR(IF(AND(INDEX('Intervals'!$G$4:$G$33,MATCH($B930,'Intervals'!$A$4:$A$33,0))&lt;&gt;"No",N(INDEX('Intervals'!$C$4:$C$33,MATCH($B930,'Intervals'!$A$4:$A$33,0)))&gt;0),$E930+N(INDEX('Intervals'!$C$4:$C$33,MATCH($B930,'Intervals'!$A$4:$A$33,0))),""),""))</f>
        <v/>
      </c>
      <c r="G930" s="20">
        <f>IF(OR($B930="",$D930=""),"",IFERROR(IF(AND(INDEX('Intervals'!$G$4:$G$33,MATCH($B930,'Intervals'!$A$4:$A$33,0))&lt;&gt;"No",N(INDEX('Intervals'!$D$4:$D$33,MATCH($B930,'Intervals'!$A$4:$A$33,0)))&gt;0),EDATE($D930,N(INDEX('Intervals'!$D$4:$D$33,MATCH($B930,'Intervals'!$A$4:$A$33,0)))),""),""))</f>
        <v/>
      </c>
      <c r="H930" s="19">
        <f>IF($A930="","",IFERROR(IF(N(INDEX('Cars'!$H$4:$H$103,MATCH($A930,'Cars'!$A$4:$A$103,0)))&gt;0,INDEX('Cars'!$H$4:$H$103,MATCH($A930,'Cars'!$A$4:$A$103,0)),""),""))</f>
        <v/>
      </c>
      <c r="I930" s="19">
        <f>IF(OR($F930="",$H930=""),"",$F930-$H930)</f>
        <v/>
      </c>
      <c r="J930" s="21">
        <f>IF($G930="","",$G930-TODAY())</f>
        <v/>
      </c>
      <c r="K930" s="21">
        <f>IF($I930="","",IFERROR(IF(N(INDEX('Cars'!$J$4:$J$103,MATCH($A930,'Cars'!$A$4:$A$103,0)))&gt;0,ROUND($I930/INDEX('Cars'!$J$4:$J$103,MATCH($A930,'Cars'!$A$4:$A$103,0))*30,0),""),""))</f>
        <v/>
      </c>
      <c r="L930" s="21">
        <f>IF(AND($J930="",$K930=""),"",MIN(IF($J930="",99999,$J930),IF($K930="",99999,$K930)))</f>
        <v/>
      </c>
      <c r="M930" s="16">
        <f>IF(AND($I930="",$J930=""),"",IF(OR(AND($I930&lt;&gt;"",N($I930)&lt;0),AND($J930&lt;&gt;"",N($J930)&lt;0)),"Overdue",IF(OR(AND($I930&lt;&gt;"",N($I930)&lt;=IFERROR(INDEX('Intervals'!$E$4:$E$33,MATCH($B930,'Intervals'!$A$4:$A$33,0)),500)),AND($J930&lt;&gt;"",N($J930)&lt;=IFERROR(INDEX('Intervals'!$F$4:$F$33,MATCH($B930,'Intervals'!$A$4:$A$33,0)),14))),"Due soon","OK")))</f>
        <v/>
      </c>
      <c r="N930" s="15" t="n"/>
      <c r="O930" s="22">
        <f>IF(OR($M930="",$M930="OK"),"",$L930+ROW()/100000)</f>
        <v/>
      </c>
    </row>
    <row r="931">
      <c r="A931" s="15" t="n"/>
      <c r="B931" s="15" t="n"/>
      <c r="C931" s="16">
        <f>IF($B931="","",IFERROR(INDEX('Intervals'!$B$4:$B$33,MATCH($B931,'Intervals'!$A$4:$A$33,0)),""))</f>
        <v/>
      </c>
      <c r="D931" s="17" t="n"/>
      <c r="E931" s="18" t="n"/>
      <c r="F931" s="19">
        <f>IF(OR($B931="",$E931=""),"",IFERROR(IF(AND(INDEX('Intervals'!$G$4:$G$33,MATCH($B931,'Intervals'!$A$4:$A$33,0))&lt;&gt;"No",N(INDEX('Intervals'!$C$4:$C$33,MATCH($B931,'Intervals'!$A$4:$A$33,0)))&gt;0),$E931+N(INDEX('Intervals'!$C$4:$C$33,MATCH($B931,'Intervals'!$A$4:$A$33,0))),""),""))</f>
        <v/>
      </c>
      <c r="G931" s="20">
        <f>IF(OR($B931="",$D931=""),"",IFERROR(IF(AND(INDEX('Intervals'!$G$4:$G$33,MATCH($B931,'Intervals'!$A$4:$A$33,0))&lt;&gt;"No",N(INDEX('Intervals'!$D$4:$D$33,MATCH($B931,'Intervals'!$A$4:$A$33,0)))&gt;0),EDATE($D931,N(INDEX('Intervals'!$D$4:$D$33,MATCH($B931,'Intervals'!$A$4:$A$33,0)))),""),""))</f>
        <v/>
      </c>
      <c r="H931" s="19">
        <f>IF($A931="","",IFERROR(IF(N(INDEX('Cars'!$H$4:$H$103,MATCH($A931,'Cars'!$A$4:$A$103,0)))&gt;0,INDEX('Cars'!$H$4:$H$103,MATCH($A931,'Cars'!$A$4:$A$103,0)),""),""))</f>
        <v/>
      </c>
      <c r="I931" s="19">
        <f>IF(OR($F931="",$H931=""),"",$F931-$H931)</f>
        <v/>
      </c>
      <c r="J931" s="21">
        <f>IF($G931="","",$G931-TODAY())</f>
        <v/>
      </c>
      <c r="K931" s="21">
        <f>IF($I931="","",IFERROR(IF(N(INDEX('Cars'!$J$4:$J$103,MATCH($A931,'Cars'!$A$4:$A$103,0)))&gt;0,ROUND($I931/INDEX('Cars'!$J$4:$J$103,MATCH($A931,'Cars'!$A$4:$A$103,0))*30,0),""),""))</f>
        <v/>
      </c>
      <c r="L931" s="21">
        <f>IF(AND($J931="",$K931=""),"",MIN(IF($J931="",99999,$J931),IF($K931="",99999,$K931)))</f>
        <v/>
      </c>
      <c r="M931" s="16">
        <f>IF(AND($I931="",$J931=""),"",IF(OR(AND($I931&lt;&gt;"",N($I931)&lt;0),AND($J931&lt;&gt;"",N($J931)&lt;0)),"Overdue",IF(OR(AND($I931&lt;&gt;"",N($I931)&lt;=IFERROR(INDEX('Intervals'!$E$4:$E$33,MATCH($B931,'Intervals'!$A$4:$A$33,0)),500)),AND($J931&lt;&gt;"",N($J931)&lt;=IFERROR(INDEX('Intervals'!$F$4:$F$33,MATCH($B931,'Intervals'!$A$4:$A$33,0)),14))),"Due soon","OK")))</f>
        <v/>
      </c>
      <c r="N931" s="15" t="n"/>
      <c r="O931" s="22">
        <f>IF(OR($M931="",$M931="OK"),"",$L931+ROW()/100000)</f>
        <v/>
      </c>
    </row>
    <row r="932">
      <c r="A932" s="15" t="n"/>
      <c r="B932" s="15" t="n"/>
      <c r="C932" s="16">
        <f>IF($B932="","",IFERROR(INDEX('Intervals'!$B$4:$B$33,MATCH($B932,'Intervals'!$A$4:$A$33,0)),""))</f>
        <v/>
      </c>
      <c r="D932" s="17" t="n"/>
      <c r="E932" s="18" t="n"/>
      <c r="F932" s="19">
        <f>IF(OR($B932="",$E932=""),"",IFERROR(IF(AND(INDEX('Intervals'!$G$4:$G$33,MATCH($B932,'Intervals'!$A$4:$A$33,0))&lt;&gt;"No",N(INDEX('Intervals'!$C$4:$C$33,MATCH($B932,'Intervals'!$A$4:$A$33,0)))&gt;0),$E932+N(INDEX('Intervals'!$C$4:$C$33,MATCH($B932,'Intervals'!$A$4:$A$33,0))),""),""))</f>
        <v/>
      </c>
      <c r="G932" s="20">
        <f>IF(OR($B932="",$D932=""),"",IFERROR(IF(AND(INDEX('Intervals'!$G$4:$G$33,MATCH($B932,'Intervals'!$A$4:$A$33,0))&lt;&gt;"No",N(INDEX('Intervals'!$D$4:$D$33,MATCH($B932,'Intervals'!$A$4:$A$33,0)))&gt;0),EDATE($D932,N(INDEX('Intervals'!$D$4:$D$33,MATCH($B932,'Intervals'!$A$4:$A$33,0)))),""),""))</f>
        <v/>
      </c>
      <c r="H932" s="19">
        <f>IF($A932="","",IFERROR(IF(N(INDEX('Cars'!$H$4:$H$103,MATCH($A932,'Cars'!$A$4:$A$103,0)))&gt;0,INDEX('Cars'!$H$4:$H$103,MATCH($A932,'Cars'!$A$4:$A$103,0)),""),""))</f>
        <v/>
      </c>
      <c r="I932" s="19">
        <f>IF(OR($F932="",$H932=""),"",$F932-$H932)</f>
        <v/>
      </c>
      <c r="J932" s="21">
        <f>IF($G932="","",$G932-TODAY())</f>
        <v/>
      </c>
      <c r="K932" s="21">
        <f>IF($I932="","",IFERROR(IF(N(INDEX('Cars'!$J$4:$J$103,MATCH($A932,'Cars'!$A$4:$A$103,0)))&gt;0,ROUND($I932/INDEX('Cars'!$J$4:$J$103,MATCH($A932,'Cars'!$A$4:$A$103,0))*30,0),""),""))</f>
        <v/>
      </c>
      <c r="L932" s="21">
        <f>IF(AND($J932="",$K932=""),"",MIN(IF($J932="",99999,$J932),IF($K932="",99999,$K932)))</f>
        <v/>
      </c>
      <c r="M932" s="16">
        <f>IF(AND($I932="",$J932=""),"",IF(OR(AND($I932&lt;&gt;"",N($I932)&lt;0),AND($J932&lt;&gt;"",N($J932)&lt;0)),"Overdue",IF(OR(AND($I932&lt;&gt;"",N($I932)&lt;=IFERROR(INDEX('Intervals'!$E$4:$E$33,MATCH($B932,'Intervals'!$A$4:$A$33,0)),500)),AND($J932&lt;&gt;"",N($J932)&lt;=IFERROR(INDEX('Intervals'!$F$4:$F$33,MATCH($B932,'Intervals'!$A$4:$A$33,0)),14))),"Due soon","OK")))</f>
        <v/>
      </c>
      <c r="N932" s="15" t="n"/>
      <c r="O932" s="22">
        <f>IF(OR($M932="",$M932="OK"),"",$L932+ROW()/100000)</f>
        <v/>
      </c>
    </row>
    <row r="933">
      <c r="A933" s="15" t="n"/>
      <c r="B933" s="15" t="n"/>
      <c r="C933" s="16">
        <f>IF($B933="","",IFERROR(INDEX('Intervals'!$B$4:$B$33,MATCH($B933,'Intervals'!$A$4:$A$33,0)),""))</f>
        <v/>
      </c>
      <c r="D933" s="17" t="n"/>
      <c r="E933" s="18" t="n"/>
      <c r="F933" s="19">
        <f>IF(OR($B933="",$E933=""),"",IFERROR(IF(AND(INDEX('Intervals'!$G$4:$G$33,MATCH($B933,'Intervals'!$A$4:$A$33,0))&lt;&gt;"No",N(INDEX('Intervals'!$C$4:$C$33,MATCH($B933,'Intervals'!$A$4:$A$33,0)))&gt;0),$E933+N(INDEX('Intervals'!$C$4:$C$33,MATCH($B933,'Intervals'!$A$4:$A$33,0))),""),""))</f>
        <v/>
      </c>
      <c r="G933" s="20">
        <f>IF(OR($B933="",$D933=""),"",IFERROR(IF(AND(INDEX('Intervals'!$G$4:$G$33,MATCH($B933,'Intervals'!$A$4:$A$33,0))&lt;&gt;"No",N(INDEX('Intervals'!$D$4:$D$33,MATCH($B933,'Intervals'!$A$4:$A$33,0)))&gt;0),EDATE($D933,N(INDEX('Intervals'!$D$4:$D$33,MATCH($B933,'Intervals'!$A$4:$A$33,0)))),""),""))</f>
        <v/>
      </c>
      <c r="H933" s="19">
        <f>IF($A933="","",IFERROR(IF(N(INDEX('Cars'!$H$4:$H$103,MATCH($A933,'Cars'!$A$4:$A$103,0)))&gt;0,INDEX('Cars'!$H$4:$H$103,MATCH($A933,'Cars'!$A$4:$A$103,0)),""),""))</f>
        <v/>
      </c>
      <c r="I933" s="19">
        <f>IF(OR($F933="",$H933=""),"",$F933-$H933)</f>
        <v/>
      </c>
      <c r="J933" s="21">
        <f>IF($G933="","",$G933-TODAY())</f>
        <v/>
      </c>
      <c r="K933" s="21">
        <f>IF($I933="","",IFERROR(IF(N(INDEX('Cars'!$J$4:$J$103,MATCH($A933,'Cars'!$A$4:$A$103,0)))&gt;0,ROUND($I933/INDEX('Cars'!$J$4:$J$103,MATCH($A933,'Cars'!$A$4:$A$103,0))*30,0),""),""))</f>
        <v/>
      </c>
      <c r="L933" s="21">
        <f>IF(AND($J933="",$K933=""),"",MIN(IF($J933="",99999,$J933),IF($K933="",99999,$K933)))</f>
        <v/>
      </c>
      <c r="M933" s="16">
        <f>IF(AND($I933="",$J933=""),"",IF(OR(AND($I933&lt;&gt;"",N($I933)&lt;0),AND($J933&lt;&gt;"",N($J933)&lt;0)),"Overdue",IF(OR(AND($I933&lt;&gt;"",N($I933)&lt;=IFERROR(INDEX('Intervals'!$E$4:$E$33,MATCH($B933,'Intervals'!$A$4:$A$33,0)),500)),AND($J933&lt;&gt;"",N($J933)&lt;=IFERROR(INDEX('Intervals'!$F$4:$F$33,MATCH($B933,'Intervals'!$A$4:$A$33,0)),14))),"Due soon","OK")))</f>
        <v/>
      </c>
      <c r="N933" s="15" t="n"/>
      <c r="O933" s="22">
        <f>IF(OR($M933="",$M933="OK"),"",$L933+ROW()/100000)</f>
        <v/>
      </c>
    </row>
    <row r="934">
      <c r="A934" s="15" t="n"/>
      <c r="B934" s="15" t="n"/>
      <c r="C934" s="16">
        <f>IF($B934="","",IFERROR(INDEX('Intervals'!$B$4:$B$33,MATCH($B934,'Intervals'!$A$4:$A$33,0)),""))</f>
        <v/>
      </c>
      <c r="D934" s="17" t="n"/>
      <c r="E934" s="18" t="n"/>
      <c r="F934" s="19">
        <f>IF(OR($B934="",$E934=""),"",IFERROR(IF(AND(INDEX('Intervals'!$G$4:$G$33,MATCH($B934,'Intervals'!$A$4:$A$33,0))&lt;&gt;"No",N(INDEX('Intervals'!$C$4:$C$33,MATCH($B934,'Intervals'!$A$4:$A$33,0)))&gt;0),$E934+N(INDEX('Intervals'!$C$4:$C$33,MATCH($B934,'Intervals'!$A$4:$A$33,0))),""),""))</f>
        <v/>
      </c>
      <c r="G934" s="20">
        <f>IF(OR($B934="",$D934=""),"",IFERROR(IF(AND(INDEX('Intervals'!$G$4:$G$33,MATCH($B934,'Intervals'!$A$4:$A$33,0))&lt;&gt;"No",N(INDEX('Intervals'!$D$4:$D$33,MATCH($B934,'Intervals'!$A$4:$A$33,0)))&gt;0),EDATE($D934,N(INDEX('Intervals'!$D$4:$D$33,MATCH($B934,'Intervals'!$A$4:$A$33,0)))),""),""))</f>
        <v/>
      </c>
      <c r="H934" s="19">
        <f>IF($A934="","",IFERROR(IF(N(INDEX('Cars'!$H$4:$H$103,MATCH($A934,'Cars'!$A$4:$A$103,0)))&gt;0,INDEX('Cars'!$H$4:$H$103,MATCH($A934,'Cars'!$A$4:$A$103,0)),""),""))</f>
        <v/>
      </c>
      <c r="I934" s="19">
        <f>IF(OR($F934="",$H934=""),"",$F934-$H934)</f>
        <v/>
      </c>
      <c r="J934" s="21">
        <f>IF($G934="","",$G934-TODAY())</f>
        <v/>
      </c>
      <c r="K934" s="21">
        <f>IF($I934="","",IFERROR(IF(N(INDEX('Cars'!$J$4:$J$103,MATCH($A934,'Cars'!$A$4:$A$103,0)))&gt;0,ROUND($I934/INDEX('Cars'!$J$4:$J$103,MATCH($A934,'Cars'!$A$4:$A$103,0))*30,0),""),""))</f>
        <v/>
      </c>
      <c r="L934" s="21">
        <f>IF(AND($J934="",$K934=""),"",MIN(IF($J934="",99999,$J934),IF($K934="",99999,$K934)))</f>
        <v/>
      </c>
      <c r="M934" s="16">
        <f>IF(AND($I934="",$J934=""),"",IF(OR(AND($I934&lt;&gt;"",N($I934)&lt;0),AND($J934&lt;&gt;"",N($J934)&lt;0)),"Overdue",IF(OR(AND($I934&lt;&gt;"",N($I934)&lt;=IFERROR(INDEX('Intervals'!$E$4:$E$33,MATCH($B934,'Intervals'!$A$4:$A$33,0)),500)),AND($J934&lt;&gt;"",N($J934)&lt;=IFERROR(INDEX('Intervals'!$F$4:$F$33,MATCH($B934,'Intervals'!$A$4:$A$33,0)),14))),"Due soon","OK")))</f>
        <v/>
      </c>
      <c r="N934" s="15" t="n"/>
      <c r="O934" s="22">
        <f>IF(OR($M934="",$M934="OK"),"",$L934+ROW()/100000)</f>
        <v/>
      </c>
    </row>
    <row r="935">
      <c r="A935" s="15" t="n"/>
      <c r="B935" s="15" t="n"/>
      <c r="C935" s="16">
        <f>IF($B935="","",IFERROR(INDEX('Intervals'!$B$4:$B$33,MATCH($B935,'Intervals'!$A$4:$A$33,0)),""))</f>
        <v/>
      </c>
      <c r="D935" s="17" t="n"/>
      <c r="E935" s="18" t="n"/>
      <c r="F935" s="19">
        <f>IF(OR($B935="",$E935=""),"",IFERROR(IF(AND(INDEX('Intervals'!$G$4:$G$33,MATCH($B935,'Intervals'!$A$4:$A$33,0))&lt;&gt;"No",N(INDEX('Intervals'!$C$4:$C$33,MATCH($B935,'Intervals'!$A$4:$A$33,0)))&gt;0),$E935+N(INDEX('Intervals'!$C$4:$C$33,MATCH($B935,'Intervals'!$A$4:$A$33,0))),""),""))</f>
        <v/>
      </c>
      <c r="G935" s="20">
        <f>IF(OR($B935="",$D935=""),"",IFERROR(IF(AND(INDEX('Intervals'!$G$4:$G$33,MATCH($B935,'Intervals'!$A$4:$A$33,0))&lt;&gt;"No",N(INDEX('Intervals'!$D$4:$D$33,MATCH($B935,'Intervals'!$A$4:$A$33,0)))&gt;0),EDATE($D935,N(INDEX('Intervals'!$D$4:$D$33,MATCH($B935,'Intervals'!$A$4:$A$33,0)))),""),""))</f>
        <v/>
      </c>
      <c r="H935" s="19">
        <f>IF($A935="","",IFERROR(IF(N(INDEX('Cars'!$H$4:$H$103,MATCH($A935,'Cars'!$A$4:$A$103,0)))&gt;0,INDEX('Cars'!$H$4:$H$103,MATCH($A935,'Cars'!$A$4:$A$103,0)),""),""))</f>
        <v/>
      </c>
      <c r="I935" s="19">
        <f>IF(OR($F935="",$H935=""),"",$F935-$H935)</f>
        <v/>
      </c>
      <c r="J935" s="21">
        <f>IF($G935="","",$G935-TODAY())</f>
        <v/>
      </c>
      <c r="K935" s="21">
        <f>IF($I935="","",IFERROR(IF(N(INDEX('Cars'!$J$4:$J$103,MATCH($A935,'Cars'!$A$4:$A$103,0)))&gt;0,ROUND($I935/INDEX('Cars'!$J$4:$J$103,MATCH($A935,'Cars'!$A$4:$A$103,0))*30,0),""),""))</f>
        <v/>
      </c>
      <c r="L935" s="21">
        <f>IF(AND($J935="",$K935=""),"",MIN(IF($J935="",99999,$J935),IF($K935="",99999,$K935)))</f>
        <v/>
      </c>
      <c r="M935" s="16">
        <f>IF(AND($I935="",$J935=""),"",IF(OR(AND($I935&lt;&gt;"",N($I935)&lt;0),AND($J935&lt;&gt;"",N($J935)&lt;0)),"Overdue",IF(OR(AND($I935&lt;&gt;"",N($I935)&lt;=IFERROR(INDEX('Intervals'!$E$4:$E$33,MATCH($B935,'Intervals'!$A$4:$A$33,0)),500)),AND($J935&lt;&gt;"",N($J935)&lt;=IFERROR(INDEX('Intervals'!$F$4:$F$33,MATCH($B935,'Intervals'!$A$4:$A$33,0)),14))),"Due soon","OK")))</f>
        <v/>
      </c>
      <c r="N935" s="15" t="n"/>
      <c r="O935" s="22">
        <f>IF(OR($M935="",$M935="OK"),"",$L935+ROW()/100000)</f>
        <v/>
      </c>
    </row>
    <row r="936">
      <c r="A936" s="15" t="n"/>
      <c r="B936" s="15" t="n"/>
      <c r="C936" s="16">
        <f>IF($B936="","",IFERROR(INDEX('Intervals'!$B$4:$B$33,MATCH($B936,'Intervals'!$A$4:$A$33,0)),""))</f>
        <v/>
      </c>
      <c r="D936" s="17" t="n"/>
      <c r="E936" s="18" t="n"/>
      <c r="F936" s="19">
        <f>IF(OR($B936="",$E936=""),"",IFERROR(IF(AND(INDEX('Intervals'!$G$4:$G$33,MATCH($B936,'Intervals'!$A$4:$A$33,0))&lt;&gt;"No",N(INDEX('Intervals'!$C$4:$C$33,MATCH($B936,'Intervals'!$A$4:$A$33,0)))&gt;0),$E936+N(INDEX('Intervals'!$C$4:$C$33,MATCH($B936,'Intervals'!$A$4:$A$33,0))),""),""))</f>
        <v/>
      </c>
      <c r="G936" s="20">
        <f>IF(OR($B936="",$D936=""),"",IFERROR(IF(AND(INDEX('Intervals'!$G$4:$G$33,MATCH($B936,'Intervals'!$A$4:$A$33,0))&lt;&gt;"No",N(INDEX('Intervals'!$D$4:$D$33,MATCH($B936,'Intervals'!$A$4:$A$33,0)))&gt;0),EDATE($D936,N(INDEX('Intervals'!$D$4:$D$33,MATCH($B936,'Intervals'!$A$4:$A$33,0)))),""),""))</f>
        <v/>
      </c>
      <c r="H936" s="19">
        <f>IF($A936="","",IFERROR(IF(N(INDEX('Cars'!$H$4:$H$103,MATCH($A936,'Cars'!$A$4:$A$103,0)))&gt;0,INDEX('Cars'!$H$4:$H$103,MATCH($A936,'Cars'!$A$4:$A$103,0)),""),""))</f>
        <v/>
      </c>
      <c r="I936" s="19">
        <f>IF(OR($F936="",$H936=""),"",$F936-$H936)</f>
        <v/>
      </c>
      <c r="J936" s="21">
        <f>IF($G936="","",$G936-TODAY())</f>
        <v/>
      </c>
      <c r="K936" s="21">
        <f>IF($I936="","",IFERROR(IF(N(INDEX('Cars'!$J$4:$J$103,MATCH($A936,'Cars'!$A$4:$A$103,0)))&gt;0,ROUND($I936/INDEX('Cars'!$J$4:$J$103,MATCH($A936,'Cars'!$A$4:$A$103,0))*30,0),""),""))</f>
        <v/>
      </c>
      <c r="L936" s="21">
        <f>IF(AND($J936="",$K936=""),"",MIN(IF($J936="",99999,$J936),IF($K936="",99999,$K936)))</f>
        <v/>
      </c>
      <c r="M936" s="16">
        <f>IF(AND($I936="",$J936=""),"",IF(OR(AND($I936&lt;&gt;"",N($I936)&lt;0),AND($J936&lt;&gt;"",N($J936)&lt;0)),"Overdue",IF(OR(AND($I936&lt;&gt;"",N($I936)&lt;=IFERROR(INDEX('Intervals'!$E$4:$E$33,MATCH($B936,'Intervals'!$A$4:$A$33,0)),500)),AND($J936&lt;&gt;"",N($J936)&lt;=IFERROR(INDEX('Intervals'!$F$4:$F$33,MATCH($B936,'Intervals'!$A$4:$A$33,0)),14))),"Due soon","OK")))</f>
        <v/>
      </c>
      <c r="N936" s="15" t="n"/>
      <c r="O936" s="22">
        <f>IF(OR($M936="",$M936="OK"),"",$L936+ROW()/100000)</f>
        <v/>
      </c>
    </row>
    <row r="937">
      <c r="A937" s="15" t="n"/>
      <c r="B937" s="15" t="n"/>
      <c r="C937" s="16">
        <f>IF($B937="","",IFERROR(INDEX('Intervals'!$B$4:$B$33,MATCH($B937,'Intervals'!$A$4:$A$33,0)),""))</f>
        <v/>
      </c>
      <c r="D937" s="17" t="n"/>
      <c r="E937" s="18" t="n"/>
      <c r="F937" s="19">
        <f>IF(OR($B937="",$E937=""),"",IFERROR(IF(AND(INDEX('Intervals'!$G$4:$G$33,MATCH($B937,'Intervals'!$A$4:$A$33,0))&lt;&gt;"No",N(INDEX('Intervals'!$C$4:$C$33,MATCH($B937,'Intervals'!$A$4:$A$33,0)))&gt;0),$E937+N(INDEX('Intervals'!$C$4:$C$33,MATCH($B937,'Intervals'!$A$4:$A$33,0))),""),""))</f>
        <v/>
      </c>
      <c r="G937" s="20">
        <f>IF(OR($B937="",$D937=""),"",IFERROR(IF(AND(INDEX('Intervals'!$G$4:$G$33,MATCH($B937,'Intervals'!$A$4:$A$33,0))&lt;&gt;"No",N(INDEX('Intervals'!$D$4:$D$33,MATCH($B937,'Intervals'!$A$4:$A$33,0)))&gt;0),EDATE($D937,N(INDEX('Intervals'!$D$4:$D$33,MATCH($B937,'Intervals'!$A$4:$A$33,0)))),""),""))</f>
        <v/>
      </c>
      <c r="H937" s="19">
        <f>IF($A937="","",IFERROR(IF(N(INDEX('Cars'!$H$4:$H$103,MATCH($A937,'Cars'!$A$4:$A$103,0)))&gt;0,INDEX('Cars'!$H$4:$H$103,MATCH($A937,'Cars'!$A$4:$A$103,0)),""),""))</f>
        <v/>
      </c>
      <c r="I937" s="19">
        <f>IF(OR($F937="",$H937=""),"",$F937-$H937)</f>
        <v/>
      </c>
      <c r="J937" s="21">
        <f>IF($G937="","",$G937-TODAY())</f>
        <v/>
      </c>
      <c r="K937" s="21">
        <f>IF($I937="","",IFERROR(IF(N(INDEX('Cars'!$J$4:$J$103,MATCH($A937,'Cars'!$A$4:$A$103,0)))&gt;0,ROUND($I937/INDEX('Cars'!$J$4:$J$103,MATCH($A937,'Cars'!$A$4:$A$103,0))*30,0),""),""))</f>
        <v/>
      </c>
      <c r="L937" s="21">
        <f>IF(AND($J937="",$K937=""),"",MIN(IF($J937="",99999,$J937),IF($K937="",99999,$K937)))</f>
        <v/>
      </c>
      <c r="M937" s="16">
        <f>IF(AND($I937="",$J937=""),"",IF(OR(AND($I937&lt;&gt;"",N($I937)&lt;0),AND($J937&lt;&gt;"",N($J937)&lt;0)),"Overdue",IF(OR(AND($I937&lt;&gt;"",N($I937)&lt;=IFERROR(INDEX('Intervals'!$E$4:$E$33,MATCH($B937,'Intervals'!$A$4:$A$33,0)),500)),AND($J937&lt;&gt;"",N($J937)&lt;=IFERROR(INDEX('Intervals'!$F$4:$F$33,MATCH($B937,'Intervals'!$A$4:$A$33,0)),14))),"Due soon","OK")))</f>
        <v/>
      </c>
      <c r="N937" s="15" t="n"/>
      <c r="O937" s="22">
        <f>IF(OR($M937="",$M937="OK"),"",$L937+ROW()/100000)</f>
        <v/>
      </c>
    </row>
    <row r="938">
      <c r="A938" s="15" t="n"/>
      <c r="B938" s="15" t="n"/>
      <c r="C938" s="16">
        <f>IF($B938="","",IFERROR(INDEX('Intervals'!$B$4:$B$33,MATCH($B938,'Intervals'!$A$4:$A$33,0)),""))</f>
        <v/>
      </c>
      <c r="D938" s="17" t="n"/>
      <c r="E938" s="18" t="n"/>
      <c r="F938" s="19">
        <f>IF(OR($B938="",$E938=""),"",IFERROR(IF(AND(INDEX('Intervals'!$G$4:$G$33,MATCH($B938,'Intervals'!$A$4:$A$33,0))&lt;&gt;"No",N(INDEX('Intervals'!$C$4:$C$33,MATCH($B938,'Intervals'!$A$4:$A$33,0)))&gt;0),$E938+N(INDEX('Intervals'!$C$4:$C$33,MATCH($B938,'Intervals'!$A$4:$A$33,0))),""),""))</f>
        <v/>
      </c>
      <c r="G938" s="20">
        <f>IF(OR($B938="",$D938=""),"",IFERROR(IF(AND(INDEX('Intervals'!$G$4:$G$33,MATCH($B938,'Intervals'!$A$4:$A$33,0))&lt;&gt;"No",N(INDEX('Intervals'!$D$4:$D$33,MATCH($B938,'Intervals'!$A$4:$A$33,0)))&gt;0),EDATE($D938,N(INDEX('Intervals'!$D$4:$D$33,MATCH($B938,'Intervals'!$A$4:$A$33,0)))),""),""))</f>
        <v/>
      </c>
      <c r="H938" s="19">
        <f>IF($A938="","",IFERROR(IF(N(INDEX('Cars'!$H$4:$H$103,MATCH($A938,'Cars'!$A$4:$A$103,0)))&gt;0,INDEX('Cars'!$H$4:$H$103,MATCH($A938,'Cars'!$A$4:$A$103,0)),""),""))</f>
        <v/>
      </c>
      <c r="I938" s="19">
        <f>IF(OR($F938="",$H938=""),"",$F938-$H938)</f>
        <v/>
      </c>
      <c r="J938" s="21">
        <f>IF($G938="","",$G938-TODAY())</f>
        <v/>
      </c>
      <c r="K938" s="21">
        <f>IF($I938="","",IFERROR(IF(N(INDEX('Cars'!$J$4:$J$103,MATCH($A938,'Cars'!$A$4:$A$103,0)))&gt;0,ROUND($I938/INDEX('Cars'!$J$4:$J$103,MATCH($A938,'Cars'!$A$4:$A$103,0))*30,0),""),""))</f>
        <v/>
      </c>
      <c r="L938" s="21">
        <f>IF(AND($J938="",$K938=""),"",MIN(IF($J938="",99999,$J938),IF($K938="",99999,$K938)))</f>
        <v/>
      </c>
      <c r="M938" s="16">
        <f>IF(AND($I938="",$J938=""),"",IF(OR(AND($I938&lt;&gt;"",N($I938)&lt;0),AND($J938&lt;&gt;"",N($J938)&lt;0)),"Overdue",IF(OR(AND($I938&lt;&gt;"",N($I938)&lt;=IFERROR(INDEX('Intervals'!$E$4:$E$33,MATCH($B938,'Intervals'!$A$4:$A$33,0)),500)),AND($J938&lt;&gt;"",N($J938)&lt;=IFERROR(INDEX('Intervals'!$F$4:$F$33,MATCH($B938,'Intervals'!$A$4:$A$33,0)),14))),"Due soon","OK")))</f>
        <v/>
      </c>
      <c r="N938" s="15" t="n"/>
      <c r="O938" s="22">
        <f>IF(OR($M938="",$M938="OK"),"",$L938+ROW()/100000)</f>
        <v/>
      </c>
    </row>
    <row r="939">
      <c r="A939" s="15" t="n"/>
      <c r="B939" s="15" t="n"/>
      <c r="C939" s="16">
        <f>IF($B939="","",IFERROR(INDEX('Intervals'!$B$4:$B$33,MATCH($B939,'Intervals'!$A$4:$A$33,0)),""))</f>
        <v/>
      </c>
      <c r="D939" s="17" t="n"/>
      <c r="E939" s="18" t="n"/>
      <c r="F939" s="19">
        <f>IF(OR($B939="",$E939=""),"",IFERROR(IF(AND(INDEX('Intervals'!$G$4:$G$33,MATCH($B939,'Intervals'!$A$4:$A$33,0))&lt;&gt;"No",N(INDEX('Intervals'!$C$4:$C$33,MATCH($B939,'Intervals'!$A$4:$A$33,0)))&gt;0),$E939+N(INDEX('Intervals'!$C$4:$C$33,MATCH($B939,'Intervals'!$A$4:$A$33,0))),""),""))</f>
        <v/>
      </c>
      <c r="G939" s="20">
        <f>IF(OR($B939="",$D939=""),"",IFERROR(IF(AND(INDEX('Intervals'!$G$4:$G$33,MATCH($B939,'Intervals'!$A$4:$A$33,0))&lt;&gt;"No",N(INDEX('Intervals'!$D$4:$D$33,MATCH($B939,'Intervals'!$A$4:$A$33,0)))&gt;0),EDATE($D939,N(INDEX('Intervals'!$D$4:$D$33,MATCH($B939,'Intervals'!$A$4:$A$33,0)))),""),""))</f>
        <v/>
      </c>
      <c r="H939" s="19">
        <f>IF($A939="","",IFERROR(IF(N(INDEX('Cars'!$H$4:$H$103,MATCH($A939,'Cars'!$A$4:$A$103,0)))&gt;0,INDEX('Cars'!$H$4:$H$103,MATCH($A939,'Cars'!$A$4:$A$103,0)),""),""))</f>
        <v/>
      </c>
      <c r="I939" s="19">
        <f>IF(OR($F939="",$H939=""),"",$F939-$H939)</f>
        <v/>
      </c>
      <c r="J939" s="21">
        <f>IF($G939="","",$G939-TODAY())</f>
        <v/>
      </c>
      <c r="K939" s="21">
        <f>IF($I939="","",IFERROR(IF(N(INDEX('Cars'!$J$4:$J$103,MATCH($A939,'Cars'!$A$4:$A$103,0)))&gt;0,ROUND($I939/INDEX('Cars'!$J$4:$J$103,MATCH($A939,'Cars'!$A$4:$A$103,0))*30,0),""),""))</f>
        <v/>
      </c>
      <c r="L939" s="21">
        <f>IF(AND($J939="",$K939=""),"",MIN(IF($J939="",99999,$J939),IF($K939="",99999,$K939)))</f>
        <v/>
      </c>
      <c r="M939" s="16">
        <f>IF(AND($I939="",$J939=""),"",IF(OR(AND($I939&lt;&gt;"",N($I939)&lt;0),AND($J939&lt;&gt;"",N($J939)&lt;0)),"Overdue",IF(OR(AND($I939&lt;&gt;"",N($I939)&lt;=IFERROR(INDEX('Intervals'!$E$4:$E$33,MATCH($B939,'Intervals'!$A$4:$A$33,0)),500)),AND($J939&lt;&gt;"",N($J939)&lt;=IFERROR(INDEX('Intervals'!$F$4:$F$33,MATCH($B939,'Intervals'!$A$4:$A$33,0)),14))),"Due soon","OK")))</f>
        <v/>
      </c>
      <c r="N939" s="15" t="n"/>
      <c r="O939" s="22">
        <f>IF(OR($M939="",$M939="OK"),"",$L939+ROW()/100000)</f>
        <v/>
      </c>
    </row>
    <row r="940">
      <c r="A940" s="15" t="n"/>
      <c r="B940" s="15" t="n"/>
      <c r="C940" s="16">
        <f>IF($B940="","",IFERROR(INDEX('Intervals'!$B$4:$B$33,MATCH($B940,'Intervals'!$A$4:$A$33,0)),""))</f>
        <v/>
      </c>
      <c r="D940" s="17" t="n"/>
      <c r="E940" s="18" t="n"/>
      <c r="F940" s="19">
        <f>IF(OR($B940="",$E940=""),"",IFERROR(IF(AND(INDEX('Intervals'!$G$4:$G$33,MATCH($B940,'Intervals'!$A$4:$A$33,0))&lt;&gt;"No",N(INDEX('Intervals'!$C$4:$C$33,MATCH($B940,'Intervals'!$A$4:$A$33,0)))&gt;0),$E940+N(INDEX('Intervals'!$C$4:$C$33,MATCH($B940,'Intervals'!$A$4:$A$33,0))),""),""))</f>
        <v/>
      </c>
      <c r="G940" s="20">
        <f>IF(OR($B940="",$D940=""),"",IFERROR(IF(AND(INDEX('Intervals'!$G$4:$G$33,MATCH($B940,'Intervals'!$A$4:$A$33,0))&lt;&gt;"No",N(INDEX('Intervals'!$D$4:$D$33,MATCH($B940,'Intervals'!$A$4:$A$33,0)))&gt;0),EDATE($D940,N(INDEX('Intervals'!$D$4:$D$33,MATCH($B940,'Intervals'!$A$4:$A$33,0)))),""),""))</f>
        <v/>
      </c>
      <c r="H940" s="19">
        <f>IF($A940="","",IFERROR(IF(N(INDEX('Cars'!$H$4:$H$103,MATCH($A940,'Cars'!$A$4:$A$103,0)))&gt;0,INDEX('Cars'!$H$4:$H$103,MATCH($A940,'Cars'!$A$4:$A$103,0)),""),""))</f>
        <v/>
      </c>
      <c r="I940" s="19">
        <f>IF(OR($F940="",$H940=""),"",$F940-$H940)</f>
        <v/>
      </c>
      <c r="J940" s="21">
        <f>IF($G940="","",$G940-TODAY())</f>
        <v/>
      </c>
      <c r="K940" s="21">
        <f>IF($I940="","",IFERROR(IF(N(INDEX('Cars'!$J$4:$J$103,MATCH($A940,'Cars'!$A$4:$A$103,0)))&gt;0,ROUND($I940/INDEX('Cars'!$J$4:$J$103,MATCH($A940,'Cars'!$A$4:$A$103,0))*30,0),""),""))</f>
        <v/>
      </c>
      <c r="L940" s="21">
        <f>IF(AND($J940="",$K940=""),"",MIN(IF($J940="",99999,$J940),IF($K940="",99999,$K940)))</f>
        <v/>
      </c>
      <c r="M940" s="16">
        <f>IF(AND($I940="",$J940=""),"",IF(OR(AND($I940&lt;&gt;"",N($I940)&lt;0),AND($J940&lt;&gt;"",N($J940)&lt;0)),"Overdue",IF(OR(AND($I940&lt;&gt;"",N($I940)&lt;=IFERROR(INDEX('Intervals'!$E$4:$E$33,MATCH($B940,'Intervals'!$A$4:$A$33,0)),500)),AND($J940&lt;&gt;"",N($J940)&lt;=IFERROR(INDEX('Intervals'!$F$4:$F$33,MATCH($B940,'Intervals'!$A$4:$A$33,0)),14))),"Due soon","OK")))</f>
        <v/>
      </c>
      <c r="N940" s="15" t="n"/>
      <c r="O940" s="22">
        <f>IF(OR($M940="",$M940="OK"),"",$L940+ROW()/100000)</f>
        <v/>
      </c>
    </row>
    <row r="941">
      <c r="A941" s="15" t="n"/>
      <c r="B941" s="15" t="n"/>
      <c r="C941" s="16">
        <f>IF($B941="","",IFERROR(INDEX('Intervals'!$B$4:$B$33,MATCH($B941,'Intervals'!$A$4:$A$33,0)),""))</f>
        <v/>
      </c>
      <c r="D941" s="17" t="n"/>
      <c r="E941" s="18" t="n"/>
      <c r="F941" s="19">
        <f>IF(OR($B941="",$E941=""),"",IFERROR(IF(AND(INDEX('Intervals'!$G$4:$G$33,MATCH($B941,'Intervals'!$A$4:$A$33,0))&lt;&gt;"No",N(INDEX('Intervals'!$C$4:$C$33,MATCH($B941,'Intervals'!$A$4:$A$33,0)))&gt;0),$E941+N(INDEX('Intervals'!$C$4:$C$33,MATCH($B941,'Intervals'!$A$4:$A$33,0))),""),""))</f>
        <v/>
      </c>
      <c r="G941" s="20">
        <f>IF(OR($B941="",$D941=""),"",IFERROR(IF(AND(INDEX('Intervals'!$G$4:$G$33,MATCH($B941,'Intervals'!$A$4:$A$33,0))&lt;&gt;"No",N(INDEX('Intervals'!$D$4:$D$33,MATCH($B941,'Intervals'!$A$4:$A$33,0)))&gt;0),EDATE($D941,N(INDEX('Intervals'!$D$4:$D$33,MATCH($B941,'Intervals'!$A$4:$A$33,0)))),""),""))</f>
        <v/>
      </c>
      <c r="H941" s="19">
        <f>IF($A941="","",IFERROR(IF(N(INDEX('Cars'!$H$4:$H$103,MATCH($A941,'Cars'!$A$4:$A$103,0)))&gt;0,INDEX('Cars'!$H$4:$H$103,MATCH($A941,'Cars'!$A$4:$A$103,0)),""),""))</f>
        <v/>
      </c>
      <c r="I941" s="19">
        <f>IF(OR($F941="",$H941=""),"",$F941-$H941)</f>
        <v/>
      </c>
      <c r="J941" s="21">
        <f>IF($G941="","",$G941-TODAY())</f>
        <v/>
      </c>
      <c r="K941" s="21">
        <f>IF($I941="","",IFERROR(IF(N(INDEX('Cars'!$J$4:$J$103,MATCH($A941,'Cars'!$A$4:$A$103,0)))&gt;0,ROUND($I941/INDEX('Cars'!$J$4:$J$103,MATCH($A941,'Cars'!$A$4:$A$103,0))*30,0),""),""))</f>
        <v/>
      </c>
      <c r="L941" s="21">
        <f>IF(AND($J941="",$K941=""),"",MIN(IF($J941="",99999,$J941),IF($K941="",99999,$K941)))</f>
        <v/>
      </c>
      <c r="M941" s="16">
        <f>IF(AND($I941="",$J941=""),"",IF(OR(AND($I941&lt;&gt;"",N($I941)&lt;0),AND($J941&lt;&gt;"",N($J941)&lt;0)),"Overdue",IF(OR(AND($I941&lt;&gt;"",N($I941)&lt;=IFERROR(INDEX('Intervals'!$E$4:$E$33,MATCH($B941,'Intervals'!$A$4:$A$33,0)),500)),AND($J941&lt;&gt;"",N($J941)&lt;=IFERROR(INDEX('Intervals'!$F$4:$F$33,MATCH($B941,'Intervals'!$A$4:$A$33,0)),14))),"Due soon","OK")))</f>
        <v/>
      </c>
      <c r="N941" s="15" t="n"/>
      <c r="O941" s="22">
        <f>IF(OR($M941="",$M941="OK"),"",$L941+ROW()/100000)</f>
        <v/>
      </c>
    </row>
    <row r="942">
      <c r="A942" s="15" t="n"/>
      <c r="B942" s="15" t="n"/>
      <c r="C942" s="16">
        <f>IF($B942="","",IFERROR(INDEX('Intervals'!$B$4:$B$33,MATCH($B942,'Intervals'!$A$4:$A$33,0)),""))</f>
        <v/>
      </c>
      <c r="D942" s="17" t="n"/>
      <c r="E942" s="18" t="n"/>
      <c r="F942" s="19">
        <f>IF(OR($B942="",$E942=""),"",IFERROR(IF(AND(INDEX('Intervals'!$G$4:$G$33,MATCH($B942,'Intervals'!$A$4:$A$33,0))&lt;&gt;"No",N(INDEX('Intervals'!$C$4:$C$33,MATCH($B942,'Intervals'!$A$4:$A$33,0)))&gt;0),$E942+N(INDEX('Intervals'!$C$4:$C$33,MATCH($B942,'Intervals'!$A$4:$A$33,0))),""),""))</f>
        <v/>
      </c>
      <c r="G942" s="20">
        <f>IF(OR($B942="",$D942=""),"",IFERROR(IF(AND(INDEX('Intervals'!$G$4:$G$33,MATCH($B942,'Intervals'!$A$4:$A$33,0))&lt;&gt;"No",N(INDEX('Intervals'!$D$4:$D$33,MATCH($B942,'Intervals'!$A$4:$A$33,0)))&gt;0),EDATE($D942,N(INDEX('Intervals'!$D$4:$D$33,MATCH($B942,'Intervals'!$A$4:$A$33,0)))),""),""))</f>
        <v/>
      </c>
      <c r="H942" s="19">
        <f>IF($A942="","",IFERROR(IF(N(INDEX('Cars'!$H$4:$H$103,MATCH($A942,'Cars'!$A$4:$A$103,0)))&gt;0,INDEX('Cars'!$H$4:$H$103,MATCH($A942,'Cars'!$A$4:$A$103,0)),""),""))</f>
        <v/>
      </c>
      <c r="I942" s="19">
        <f>IF(OR($F942="",$H942=""),"",$F942-$H942)</f>
        <v/>
      </c>
      <c r="J942" s="21">
        <f>IF($G942="","",$G942-TODAY())</f>
        <v/>
      </c>
      <c r="K942" s="21">
        <f>IF($I942="","",IFERROR(IF(N(INDEX('Cars'!$J$4:$J$103,MATCH($A942,'Cars'!$A$4:$A$103,0)))&gt;0,ROUND($I942/INDEX('Cars'!$J$4:$J$103,MATCH($A942,'Cars'!$A$4:$A$103,0))*30,0),""),""))</f>
        <v/>
      </c>
      <c r="L942" s="21">
        <f>IF(AND($J942="",$K942=""),"",MIN(IF($J942="",99999,$J942),IF($K942="",99999,$K942)))</f>
        <v/>
      </c>
      <c r="M942" s="16">
        <f>IF(AND($I942="",$J942=""),"",IF(OR(AND($I942&lt;&gt;"",N($I942)&lt;0),AND($J942&lt;&gt;"",N($J942)&lt;0)),"Overdue",IF(OR(AND($I942&lt;&gt;"",N($I942)&lt;=IFERROR(INDEX('Intervals'!$E$4:$E$33,MATCH($B942,'Intervals'!$A$4:$A$33,0)),500)),AND($J942&lt;&gt;"",N($J942)&lt;=IFERROR(INDEX('Intervals'!$F$4:$F$33,MATCH($B942,'Intervals'!$A$4:$A$33,0)),14))),"Due soon","OK")))</f>
        <v/>
      </c>
      <c r="N942" s="15" t="n"/>
      <c r="O942" s="22">
        <f>IF(OR($M942="",$M942="OK"),"",$L942+ROW()/100000)</f>
        <v/>
      </c>
    </row>
    <row r="943">
      <c r="A943" s="15" t="n"/>
      <c r="B943" s="15" t="n"/>
      <c r="C943" s="16">
        <f>IF($B943="","",IFERROR(INDEX('Intervals'!$B$4:$B$33,MATCH($B943,'Intervals'!$A$4:$A$33,0)),""))</f>
        <v/>
      </c>
      <c r="D943" s="17" t="n"/>
      <c r="E943" s="18" t="n"/>
      <c r="F943" s="19">
        <f>IF(OR($B943="",$E943=""),"",IFERROR(IF(AND(INDEX('Intervals'!$G$4:$G$33,MATCH($B943,'Intervals'!$A$4:$A$33,0))&lt;&gt;"No",N(INDEX('Intervals'!$C$4:$C$33,MATCH($B943,'Intervals'!$A$4:$A$33,0)))&gt;0),$E943+N(INDEX('Intervals'!$C$4:$C$33,MATCH($B943,'Intervals'!$A$4:$A$33,0))),""),""))</f>
        <v/>
      </c>
      <c r="G943" s="20">
        <f>IF(OR($B943="",$D943=""),"",IFERROR(IF(AND(INDEX('Intervals'!$G$4:$G$33,MATCH($B943,'Intervals'!$A$4:$A$33,0))&lt;&gt;"No",N(INDEX('Intervals'!$D$4:$D$33,MATCH($B943,'Intervals'!$A$4:$A$33,0)))&gt;0),EDATE($D943,N(INDEX('Intervals'!$D$4:$D$33,MATCH($B943,'Intervals'!$A$4:$A$33,0)))),""),""))</f>
        <v/>
      </c>
      <c r="H943" s="19">
        <f>IF($A943="","",IFERROR(IF(N(INDEX('Cars'!$H$4:$H$103,MATCH($A943,'Cars'!$A$4:$A$103,0)))&gt;0,INDEX('Cars'!$H$4:$H$103,MATCH($A943,'Cars'!$A$4:$A$103,0)),""),""))</f>
        <v/>
      </c>
      <c r="I943" s="19">
        <f>IF(OR($F943="",$H943=""),"",$F943-$H943)</f>
        <v/>
      </c>
      <c r="J943" s="21">
        <f>IF($G943="","",$G943-TODAY())</f>
        <v/>
      </c>
      <c r="K943" s="21">
        <f>IF($I943="","",IFERROR(IF(N(INDEX('Cars'!$J$4:$J$103,MATCH($A943,'Cars'!$A$4:$A$103,0)))&gt;0,ROUND($I943/INDEX('Cars'!$J$4:$J$103,MATCH($A943,'Cars'!$A$4:$A$103,0))*30,0),""),""))</f>
        <v/>
      </c>
      <c r="L943" s="21">
        <f>IF(AND($J943="",$K943=""),"",MIN(IF($J943="",99999,$J943),IF($K943="",99999,$K943)))</f>
        <v/>
      </c>
      <c r="M943" s="16">
        <f>IF(AND($I943="",$J943=""),"",IF(OR(AND($I943&lt;&gt;"",N($I943)&lt;0),AND($J943&lt;&gt;"",N($J943)&lt;0)),"Overdue",IF(OR(AND($I943&lt;&gt;"",N($I943)&lt;=IFERROR(INDEX('Intervals'!$E$4:$E$33,MATCH($B943,'Intervals'!$A$4:$A$33,0)),500)),AND($J943&lt;&gt;"",N($J943)&lt;=IFERROR(INDEX('Intervals'!$F$4:$F$33,MATCH($B943,'Intervals'!$A$4:$A$33,0)),14))),"Due soon","OK")))</f>
        <v/>
      </c>
      <c r="N943" s="15" t="n"/>
      <c r="O943" s="22">
        <f>IF(OR($M943="",$M943="OK"),"",$L943+ROW()/100000)</f>
        <v/>
      </c>
    </row>
    <row r="944">
      <c r="A944" s="15" t="n"/>
      <c r="B944" s="15" t="n"/>
      <c r="C944" s="16">
        <f>IF($B944="","",IFERROR(INDEX('Intervals'!$B$4:$B$33,MATCH($B944,'Intervals'!$A$4:$A$33,0)),""))</f>
        <v/>
      </c>
      <c r="D944" s="17" t="n"/>
      <c r="E944" s="18" t="n"/>
      <c r="F944" s="19">
        <f>IF(OR($B944="",$E944=""),"",IFERROR(IF(AND(INDEX('Intervals'!$G$4:$G$33,MATCH($B944,'Intervals'!$A$4:$A$33,0))&lt;&gt;"No",N(INDEX('Intervals'!$C$4:$C$33,MATCH($B944,'Intervals'!$A$4:$A$33,0)))&gt;0),$E944+N(INDEX('Intervals'!$C$4:$C$33,MATCH($B944,'Intervals'!$A$4:$A$33,0))),""),""))</f>
        <v/>
      </c>
      <c r="G944" s="20">
        <f>IF(OR($B944="",$D944=""),"",IFERROR(IF(AND(INDEX('Intervals'!$G$4:$G$33,MATCH($B944,'Intervals'!$A$4:$A$33,0))&lt;&gt;"No",N(INDEX('Intervals'!$D$4:$D$33,MATCH($B944,'Intervals'!$A$4:$A$33,0)))&gt;0),EDATE($D944,N(INDEX('Intervals'!$D$4:$D$33,MATCH($B944,'Intervals'!$A$4:$A$33,0)))),""),""))</f>
        <v/>
      </c>
      <c r="H944" s="19">
        <f>IF($A944="","",IFERROR(IF(N(INDEX('Cars'!$H$4:$H$103,MATCH($A944,'Cars'!$A$4:$A$103,0)))&gt;0,INDEX('Cars'!$H$4:$H$103,MATCH($A944,'Cars'!$A$4:$A$103,0)),""),""))</f>
        <v/>
      </c>
      <c r="I944" s="19">
        <f>IF(OR($F944="",$H944=""),"",$F944-$H944)</f>
        <v/>
      </c>
      <c r="J944" s="21">
        <f>IF($G944="","",$G944-TODAY())</f>
        <v/>
      </c>
      <c r="K944" s="21">
        <f>IF($I944="","",IFERROR(IF(N(INDEX('Cars'!$J$4:$J$103,MATCH($A944,'Cars'!$A$4:$A$103,0)))&gt;0,ROUND($I944/INDEX('Cars'!$J$4:$J$103,MATCH($A944,'Cars'!$A$4:$A$103,0))*30,0),""),""))</f>
        <v/>
      </c>
      <c r="L944" s="21">
        <f>IF(AND($J944="",$K944=""),"",MIN(IF($J944="",99999,$J944),IF($K944="",99999,$K944)))</f>
        <v/>
      </c>
      <c r="M944" s="16">
        <f>IF(AND($I944="",$J944=""),"",IF(OR(AND($I944&lt;&gt;"",N($I944)&lt;0),AND($J944&lt;&gt;"",N($J944)&lt;0)),"Overdue",IF(OR(AND($I944&lt;&gt;"",N($I944)&lt;=IFERROR(INDEX('Intervals'!$E$4:$E$33,MATCH($B944,'Intervals'!$A$4:$A$33,0)),500)),AND($J944&lt;&gt;"",N($J944)&lt;=IFERROR(INDEX('Intervals'!$F$4:$F$33,MATCH($B944,'Intervals'!$A$4:$A$33,0)),14))),"Due soon","OK")))</f>
        <v/>
      </c>
      <c r="N944" s="15" t="n"/>
      <c r="O944" s="22">
        <f>IF(OR($M944="",$M944="OK"),"",$L944+ROW()/100000)</f>
        <v/>
      </c>
    </row>
    <row r="945">
      <c r="A945" s="15" t="n"/>
      <c r="B945" s="15" t="n"/>
      <c r="C945" s="16">
        <f>IF($B945="","",IFERROR(INDEX('Intervals'!$B$4:$B$33,MATCH($B945,'Intervals'!$A$4:$A$33,0)),""))</f>
        <v/>
      </c>
      <c r="D945" s="17" t="n"/>
      <c r="E945" s="18" t="n"/>
      <c r="F945" s="19">
        <f>IF(OR($B945="",$E945=""),"",IFERROR(IF(AND(INDEX('Intervals'!$G$4:$G$33,MATCH($B945,'Intervals'!$A$4:$A$33,0))&lt;&gt;"No",N(INDEX('Intervals'!$C$4:$C$33,MATCH($B945,'Intervals'!$A$4:$A$33,0)))&gt;0),$E945+N(INDEX('Intervals'!$C$4:$C$33,MATCH($B945,'Intervals'!$A$4:$A$33,0))),""),""))</f>
        <v/>
      </c>
      <c r="G945" s="20">
        <f>IF(OR($B945="",$D945=""),"",IFERROR(IF(AND(INDEX('Intervals'!$G$4:$G$33,MATCH($B945,'Intervals'!$A$4:$A$33,0))&lt;&gt;"No",N(INDEX('Intervals'!$D$4:$D$33,MATCH($B945,'Intervals'!$A$4:$A$33,0)))&gt;0),EDATE($D945,N(INDEX('Intervals'!$D$4:$D$33,MATCH($B945,'Intervals'!$A$4:$A$33,0)))),""),""))</f>
        <v/>
      </c>
      <c r="H945" s="19">
        <f>IF($A945="","",IFERROR(IF(N(INDEX('Cars'!$H$4:$H$103,MATCH($A945,'Cars'!$A$4:$A$103,0)))&gt;0,INDEX('Cars'!$H$4:$H$103,MATCH($A945,'Cars'!$A$4:$A$103,0)),""),""))</f>
        <v/>
      </c>
      <c r="I945" s="19">
        <f>IF(OR($F945="",$H945=""),"",$F945-$H945)</f>
        <v/>
      </c>
      <c r="J945" s="21">
        <f>IF($G945="","",$G945-TODAY())</f>
        <v/>
      </c>
      <c r="K945" s="21">
        <f>IF($I945="","",IFERROR(IF(N(INDEX('Cars'!$J$4:$J$103,MATCH($A945,'Cars'!$A$4:$A$103,0)))&gt;0,ROUND($I945/INDEX('Cars'!$J$4:$J$103,MATCH($A945,'Cars'!$A$4:$A$103,0))*30,0),""),""))</f>
        <v/>
      </c>
      <c r="L945" s="21">
        <f>IF(AND($J945="",$K945=""),"",MIN(IF($J945="",99999,$J945),IF($K945="",99999,$K945)))</f>
        <v/>
      </c>
      <c r="M945" s="16">
        <f>IF(AND($I945="",$J945=""),"",IF(OR(AND($I945&lt;&gt;"",N($I945)&lt;0),AND($J945&lt;&gt;"",N($J945)&lt;0)),"Overdue",IF(OR(AND($I945&lt;&gt;"",N($I945)&lt;=IFERROR(INDEX('Intervals'!$E$4:$E$33,MATCH($B945,'Intervals'!$A$4:$A$33,0)),500)),AND($J945&lt;&gt;"",N($J945)&lt;=IFERROR(INDEX('Intervals'!$F$4:$F$33,MATCH($B945,'Intervals'!$A$4:$A$33,0)),14))),"Due soon","OK")))</f>
        <v/>
      </c>
      <c r="N945" s="15" t="n"/>
      <c r="O945" s="22">
        <f>IF(OR($M945="",$M945="OK"),"",$L945+ROW()/100000)</f>
        <v/>
      </c>
    </row>
    <row r="946">
      <c r="A946" s="15" t="n"/>
      <c r="B946" s="15" t="n"/>
      <c r="C946" s="16">
        <f>IF($B946="","",IFERROR(INDEX('Intervals'!$B$4:$B$33,MATCH($B946,'Intervals'!$A$4:$A$33,0)),""))</f>
        <v/>
      </c>
      <c r="D946" s="17" t="n"/>
      <c r="E946" s="18" t="n"/>
      <c r="F946" s="19">
        <f>IF(OR($B946="",$E946=""),"",IFERROR(IF(AND(INDEX('Intervals'!$G$4:$G$33,MATCH($B946,'Intervals'!$A$4:$A$33,0))&lt;&gt;"No",N(INDEX('Intervals'!$C$4:$C$33,MATCH($B946,'Intervals'!$A$4:$A$33,0)))&gt;0),$E946+N(INDEX('Intervals'!$C$4:$C$33,MATCH($B946,'Intervals'!$A$4:$A$33,0))),""),""))</f>
        <v/>
      </c>
      <c r="G946" s="20">
        <f>IF(OR($B946="",$D946=""),"",IFERROR(IF(AND(INDEX('Intervals'!$G$4:$G$33,MATCH($B946,'Intervals'!$A$4:$A$33,0))&lt;&gt;"No",N(INDEX('Intervals'!$D$4:$D$33,MATCH($B946,'Intervals'!$A$4:$A$33,0)))&gt;0),EDATE($D946,N(INDEX('Intervals'!$D$4:$D$33,MATCH($B946,'Intervals'!$A$4:$A$33,0)))),""),""))</f>
        <v/>
      </c>
      <c r="H946" s="19">
        <f>IF($A946="","",IFERROR(IF(N(INDEX('Cars'!$H$4:$H$103,MATCH($A946,'Cars'!$A$4:$A$103,0)))&gt;0,INDEX('Cars'!$H$4:$H$103,MATCH($A946,'Cars'!$A$4:$A$103,0)),""),""))</f>
        <v/>
      </c>
      <c r="I946" s="19">
        <f>IF(OR($F946="",$H946=""),"",$F946-$H946)</f>
        <v/>
      </c>
      <c r="J946" s="21">
        <f>IF($G946="","",$G946-TODAY())</f>
        <v/>
      </c>
      <c r="K946" s="21">
        <f>IF($I946="","",IFERROR(IF(N(INDEX('Cars'!$J$4:$J$103,MATCH($A946,'Cars'!$A$4:$A$103,0)))&gt;0,ROUND($I946/INDEX('Cars'!$J$4:$J$103,MATCH($A946,'Cars'!$A$4:$A$103,0))*30,0),""),""))</f>
        <v/>
      </c>
      <c r="L946" s="21">
        <f>IF(AND($J946="",$K946=""),"",MIN(IF($J946="",99999,$J946),IF($K946="",99999,$K946)))</f>
        <v/>
      </c>
      <c r="M946" s="16">
        <f>IF(AND($I946="",$J946=""),"",IF(OR(AND($I946&lt;&gt;"",N($I946)&lt;0),AND($J946&lt;&gt;"",N($J946)&lt;0)),"Overdue",IF(OR(AND($I946&lt;&gt;"",N($I946)&lt;=IFERROR(INDEX('Intervals'!$E$4:$E$33,MATCH($B946,'Intervals'!$A$4:$A$33,0)),500)),AND($J946&lt;&gt;"",N($J946)&lt;=IFERROR(INDEX('Intervals'!$F$4:$F$33,MATCH($B946,'Intervals'!$A$4:$A$33,0)),14))),"Due soon","OK")))</f>
        <v/>
      </c>
      <c r="N946" s="15" t="n"/>
      <c r="O946" s="22">
        <f>IF(OR($M946="",$M946="OK"),"",$L946+ROW()/100000)</f>
        <v/>
      </c>
    </row>
    <row r="947">
      <c r="A947" s="15" t="n"/>
      <c r="B947" s="15" t="n"/>
      <c r="C947" s="16">
        <f>IF($B947="","",IFERROR(INDEX('Intervals'!$B$4:$B$33,MATCH($B947,'Intervals'!$A$4:$A$33,0)),""))</f>
        <v/>
      </c>
      <c r="D947" s="17" t="n"/>
      <c r="E947" s="18" t="n"/>
      <c r="F947" s="19">
        <f>IF(OR($B947="",$E947=""),"",IFERROR(IF(AND(INDEX('Intervals'!$G$4:$G$33,MATCH($B947,'Intervals'!$A$4:$A$33,0))&lt;&gt;"No",N(INDEX('Intervals'!$C$4:$C$33,MATCH($B947,'Intervals'!$A$4:$A$33,0)))&gt;0),$E947+N(INDEX('Intervals'!$C$4:$C$33,MATCH($B947,'Intervals'!$A$4:$A$33,0))),""),""))</f>
        <v/>
      </c>
      <c r="G947" s="20">
        <f>IF(OR($B947="",$D947=""),"",IFERROR(IF(AND(INDEX('Intervals'!$G$4:$G$33,MATCH($B947,'Intervals'!$A$4:$A$33,0))&lt;&gt;"No",N(INDEX('Intervals'!$D$4:$D$33,MATCH($B947,'Intervals'!$A$4:$A$33,0)))&gt;0),EDATE($D947,N(INDEX('Intervals'!$D$4:$D$33,MATCH($B947,'Intervals'!$A$4:$A$33,0)))),""),""))</f>
        <v/>
      </c>
      <c r="H947" s="19">
        <f>IF($A947="","",IFERROR(IF(N(INDEX('Cars'!$H$4:$H$103,MATCH($A947,'Cars'!$A$4:$A$103,0)))&gt;0,INDEX('Cars'!$H$4:$H$103,MATCH($A947,'Cars'!$A$4:$A$103,0)),""),""))</f>
        <v/>
      </c>
      <c r="I947" s="19">
        <f>IF(OR($F947="",$H947=""),"",$F947-$H947)</f>
        <v/>
      </c>
      <c r="J947" s="21">
        <f>IF($G947="","",$G947-TODAY())</f>
        <v/>
      </c>
      <c r="K947" s="21">
        <f>IF($I947="","",IFERROR(IF(N(INDEX('Cars'!$J$4:$J$103,MATCH($A947,'Cars'!$A$4:$A$103,0)))&gt;0,ROUND($I947/INDEX('Cars'!$J$4:$J$103,MATCH($A947,'Cars'!$A$4:$A$103,0))*30,0),""),""))</f>
        <v/>
      </c>
      <c r="L947" s="21">
        <f>IF(AND($J947="",$K947=""),"",MIN(IF($J947="",99999,$J947),IF($K947="",99999,$K947)))</f>
        <v/>
      </c>
      <c r="M947" s="16">
        <f>IF(AND($I947="",$J947=""),"",IF(OR(AND($I947&lt;&gt;"",N($I947)&lt;0),AND($J947&lt;&gt;"",N($J947)&lt;0)),"Overdue",IF(OR(AND($I947&lt;&gt;"",N($I947)&lt;=IFERROR(INDEX('Intervals'!$E$4:$E$33,MATCH($B947,'Intervals'!$A$4:$A$33,0)),500)),AND($J947&lt;&gt;"",N($J947)&lt;=IFERROR(INDEX('Intervals'!$F$4:$F$33,MATCH($B947,'Intervals'!$A$4:$A$33,0)),14))),"Due soon","OK")))</f>
        <v/>
      </c>
      <c r="N947" s="15" t="n"/>
      <c r="O947" s="22">
        <f>IF(OR($M947="",$M947="OK"),"",$L947+ROW()/100000)</f>
        <v/>
      </c>
    </row>
    <row r="948">
      <c r="A948" s="15" t="n"/>
      <c r="B948" s="15" t="n"/>
      <c r="C948" s="16">
        <f>IF($B948="","",IFERROR(INDEX('Intervals'!$B$4:$B$33,MATCH($B948,'Intervals'!$A$4:$A$33,0)),""))</f>
        <v/>
      </c>
      <c r="D948" s="17" t="n"/>
      <c r="E948" s="18" t="n"/>
      <c r="F948" s="19">
        <f>IF(OR($B948="",$E948=""),"",IFERROR(IF(AND(INDEX('Intervals'!$G$4:$G$33,MATCH($B948,'Intervals'!$A$4:$A$33,0))&lt;&gt;"No",N(INDEX('Intervals'!$C$4:$C$33,MATCH($B948,'Intervals'!$A$4:$A$33,0)))&gt;0),$E948+N(INDEX('Intervals'!$C$4:$C$33,MATCH($B948,'Intervals'!$A$4:$A$33,0))),""),""))</f>
        <v/>
      </c>
      <c r="G948" s="20">
        <f>IF(OR($B948="",$D948=""),"",IFERROR(IF(AND(INDEX('Intervals'!$G$4:$G$33,MATCH($B948,'Intervals'!$A$4:$A$33,0))&lt;&gt;"No",N(INDEX('Intervals'!$D$4:$D$33,MATCH($B948,'Intervals'!$A$4:$A$33,0)))&gt;0),EDATE($D948,N(INDEX('Intervals'!$D$4:$D$33,MATCH($B948,'Intervals'!$A$4:$A$33,0)))),""),""))</f>
        <v/>
      </c>
      <c r="H948" s="19">
        <f>IF($A948="","",IFERROR(IF(N(INDEX('Cars'!$H$4:$H$103,MATCH($A948,'Cars'!$A$4:$A$103,0)))&gt;0,INDEX('Cars'!$H$4:$H$103,MATCH($A948,'Cars'!$A$4:$A$103,0)),""),""))</f>
        <v/>
      </c>
      <c r="I948" s="19">
        <f>IF(OR($F948="",$H948=""),"",$F948-$H948)</f>
        <v/>
      </c>
      <c r="J948" s="21">
        <f>IF($G948="","",$G948-TODAY())</f>
        <v/>
      </c>
      <c r="K948" s="21">
        <f>IF($I948="","",IFERROR(IF(N(INDEX('Cars'!$J$4:$J$103,MATCH($A948,'Cars'!$A$4:$A$103,0)))&gt;0,ROUND($I948/INDEX('Cars'!$J$4:$J$103,MATCH($A948,'Cars'!$A$4:$A$103,0))*30,0),""),""))</f>
        <v/>
      </c>
      <c r="L948" s="21">
        <f>IF(AND($J948="",$K948=""),"",MIN(IF($J948="",99999,$J948),IF($K948="",99999,$K948)))</f>
        <v/>
      </c>
      <c r="M948" s="16">
        <f>IF(AND($I948="",$J948=""),"",IF(OR(AND($I948&lt;&gt;"",N($I948)&lt;0),AND($J948&lt;&gt;"",N($J948)&lt;0)),"Overdue",IF(OR(AND($I948&lt;&gt;"",N($I948)&lt;=IFERROR(INDEX('Intervals'!$E$4:$E$33,MATCH($B948,'Intervals'!$A$4:$A$33,0)),500)),AND($J948&lt;&gt;"",N($J948)&lt;=IFERROR(INDEX('Intervals'!$F$4:$F$33,MATCH($B948,'Intervals'!$A$4:$A$33,0)),14))),"Due soon","OK")))</f>
        <v/>
      </c>
      <c r="N948" s="15" t="n"/>
      <c r="O948" s="22">
        <f>IF(OR($M948="",$M948="OK"),"",$L948+ROW()/100000)</f>
        <v/>
      </c>
    </row>
    <row r="949">
      <c r="A949" s="15" t="n"/>
      <c r="B949" s="15" t="n"/>
      <c r="C949" s="16">
        <f>IF($B949="","",IFERROR(INDEX('Intervals'!$B$4:$B$33,MATCH($B949,'Intervals'!$A$4:$A$33,0)),""))</f>
        <v/>
      </c>
      <c r="D949" s="17" t="n"/>
      <c r="E949" s="18" t="n"/>
      <c r="F949" s="19">
        <f>IF(OR($B949="",$E949=""),"",IFERROR(IF(AND(INDEX('Intervals'!$G$4:$G$33,MATCH($B949,'Intervals'!$A$4:$A$33,0))&lt;&gt;"No",N(INDEX('Intervals'!$C$4:$C$33,MATCH($B949,'Intervals'!$A$4:$A$33,0)))&gt;0),$E949+N(INDEX('Intervals'!$C$4:$C$33,MATCH($B949,'Intervals'!$A$4:$A$33,0))),""),""))</f>
        <v/>
      </c>
      <c r="G949" s="20">
        <f>IF(OR($B949="",$D949=""),"",IFERROR(IF(AND(INDEX('Intervals'!$G$4:$G$33,MATCH($B949,'Intervals'!$A$4:$A$33,0))&lt;&gt;"No",N(INDEX('Intervals'!$D$4:$D$33,MATCH($B949,'Intervals'!$A$4:$A$33,0)))&gt;0),EDATE($D949,N(INDEX('Intervals'!$D$4:$D$33,MATCH($B949,'Intervals'!$A$4:$A$33,0)))),""),""))</f>
        <v/>
      </c>
      <c r="H949" s="19">
        <f>IF($A949="","",IFERROR(IF(N(INDEX('Cars'!$H$4:$H$103,MATCH($A949,'Cars'!$A$4:$A$103,0)))&gt;0,INDEX('Cars'!$H$4:$H$103,MATCH($A949,'Cars'!$A$4:$A$103,0)),""),""))</f>
        <v/>
      </c>
      <c r="I949" s="19">
        <f>IF(OR($F949="",$H949=""),"",$F949-$H949)</f>
        <v/>
      </c>
      <c r="J949" s="21">
        <f>IF($G949="","",$G949-TODAY())</f>
        <v/>
      </c>
      <c r="K949" s="21">
        <f>IF($I949="","",IFERROR(IF(N(INDEX('Cars'!$J$4:$J$103,MATCH($A949,'Cars'!$A$4:$A$103,0)))&gt;0,ROUND($I949/INDEX('Cars'!$J$4:$J$103,MATCH($A949,'Cars'!$A$4:$A$103,0))*30,0),""),""))</f>
        <v/>
      </c>
      <c r="L949" s="21">
        <f>IF(AND($J949="",$K949=""),"",MIN(IF($J949="",99999,$J949),IF($K949="",99999,$K949)))</f>
        <v/>
      </c>
      <c r="M949" s="16">
        <f>IF(AND($I949="",$J949=""),"",IF(OR(AND($I949&lt;&gt;"",N($I949)&lt;0),AND($J949&lt;&gt;"",N($J949)&lt;0)),"Overdue",IF(OR(AND($I949&lt;&gt;"",N($I949)&lt;=IFERROR(INDEX('Intervals'!$E$4:$E$33,MATCH($B949,'Intervals'!$A$4:$A$33,0)),500)),AND($J949&lt;&gt;"",N($J949)&lt;=IFERROR(INDEX('Intervals'!$F$4:$F$33,MATCH($B949,'Intervals'!$A$4:$A$33,0)),14))),"Due soon","OK")))</f>
        <v/>
      </c>
      <c r="N949" s="15" t="n"/>
      <c r="O949" s="22">
        <f>IF(OR($M949="",$M949="OK"),"",$L949+ROW()/100000)</f>
        <v/>
      </c>
    </row>
    <row r="950">
      <c r="A950" s="15" t="n"/>
      <c r="B950" s="15" t="n"/>
      <c r="C950" s="16">
        <f>IF($B950="","",IFERROR(INDEX('Intervals'!$B$4:$B$33,MATCH($B950,'Intervals'!$A$4:$A$33,0)),""))</f>
        <v/>
      </c>
      <c r="D950" s="17" t="n"/>
      <c r="E950" s="18" t="n"/>
      <c r="F950" s="19">
        <f>IF(OR($B950="",$E950=""),"",IFERROR(IF(AND(INDEX('Intervals'!$G$4:$G$33,MATCH($B950,'Intervals'!$A$4:$A$33,0))&lt;&gt;"No",N(INDEX('Intervals'!$C$4:$C$33,MATCH($B950,'Intervals'!$A$4:$A$33,0)))&gt;0),$E950+N(INDEX('Intervals'!$C$4:$C$33,MATCH($B950,'Intervals'!$A$4:$A$33,0))),""),""))</f>
        <v/>
      </c>
      <c r="G950" s="20">
        <f>IF(OR($B950="",$D950=""),"",IFERROR(IF(AND(INDEX('Intervals'!$G$4:$G$33,MATCH($B950,'Intervals'!$A$4:$A$33,0))&lt;&gt;"No",N(INDEX('Intervals'!$D$4:$D$33,MATCH($B950,'Intervals'!$A$4:$A$33,0)))&gt;0),EDATE($D950,N(INDEX('Intervals'!$D$4:$D$33,MATCH($B950,'Intervals'!$A$4:$A$33,0)))),""),""))</f>
        <v/>
      </c>
      <c r="H950" s="19">
        <f>IF($A950="","",IFERROR(IF(N(INDEX('Cars'!$H$4:$H$103,MATCH($A950,'Cars'!$A$4:$A$103,0)))&gt;0,INDEX('Cars'!$H$4:$H$103,MATCH($A950,'Cars'!$A$4:$A$103,0)),""),""))</f>
        <v/>
      </c>
      <c r="I950" s="19">
        <f>IF(OR($F950="",$H950=""),"",$F950-$H950)</f>
        <v/>
      </c>
      <c r="J950" s="21">
        <f>IF($G950="","",$G950-TODAY())</f>
        <v/>
      </c>
      <c r="K950" s="21">
        <f>IF($I950="","",IFERROR(IF(N(INDEX('Cars'!$J$4:$J$103,MATCH($A950,'Cars'!$A$4:$A$103,0)))&gt;0,ROUND($I950/INDEX('Cars'!$J$4:$J$103,MATCH($A950,'Cars'!$A$4:$A$103,0))*30,0),""),""))</f>
        <v/>
      </c>
      <c r="L950" s="21">
        <f>IF(AND($J950="",$K950=""),"",MIN(IF($J950="",99999,$J950),IF($K950="",99999,$K950)))</f>
        <v/>
      </c>
      <c r="M950" s="16">
        <f>IF(AND($I950="",$J950=""),"",IF(OR(AND($I950&lt;&gt;"",N($I950)&lt;0),AND($J950&lt;&gt;"",N($J950)&lt;0)),"Overdue",IF(OR(AND($I950&lt;&gt;"",N($I950)&lt;=IFERROR(INDEX('Intervals'!$E$4:$E$33,MATCH($B950,'Intervals'!$A$4:$A$33,0)),500)),AND($J950&lt;&gt;"",N($J950)&lt;=IFERROR(INDEX('Intervals'!$F$4:$F$33,MATCH($B950,'Intervals'!$A$4:$A$33,0)),14))),"Due soon","OK")))</f>
        <v/>
      </c>
      <c r="N950" s="15" t="n"/>
      <c r="O950" s="22">
        <f>IF(OR($M950="",$M950="OK"),"",$L950+ROW()/100000)</f>
        <v/>
      </c>
    </row>
    <row r="951">
      <c r="A951" s="15" t="n"/>
      <c r="B951" s="15" t="n"/>
      <c r="C951" s="16">
        <f>IF($B951="","",IFERROR(INDEX('Intervals'!$B$4:$B$33,MATCH($B951,'Intervals'!$A$4:$A$33,0)),""))</f>
        <v/>
      </c>
      <c r="D951" s="17" t="n"/>
      <c r="E951" s="18" t="n"/>
      <c r="F951" s="19">
        <f>IF(OR($B951="",$E951=""),"",IFERROR(IF(AND(INDEX('Intervals'!$G$4:$G$33,MATCH($B951,'Intervals'!$A$4:$A$33,0))&lt;&gt;"No",N(INDEX('Intervals'!$C$4:$C$33,MATCH($B951,'Intervals'!$A$4:$A$33,0)))&gt;0),$E951+N(INDEX('Intervals'!$C$4:$C$33,MATCH($B951,'Intervals'!$A$4:$A$33,0))),""),""))</f>
        <v/>
      </c>
      <c r="G951" s="20">
        <f>IF(OR($B951="",$D951=""),"",IFERROR(IF(AND(INDEX('Intervals'!$G$4:$G$33,MATCH($B951,'Intervals'!$A$4:$A$33,0))&lt;&gt;"No",N(INDEX('Intervals'!$D$4:$D$33,MATCH($B951,'Intervals'!$A$4:$A$33,0)))&gt;0),EDATE($D951,N(INDEX('Intervals'!$D$4:$D$33,MATCH($B951,'Intervals'!$A$4:$A$33,0)))),""),""))</f>
        <v/>
      </c>
      <c r="H951" s="19">
        <f>IF($A951="","",IFERROR(IF(N(INDEX('Cars'!$H$4:$H$103,MATCH($A951,'Cars'!$A$4:$A$103,0)))&gt;0,INDEX('Cars'!$H$4:$H$103,MATCH($A951,'Cars'!$A$4:$A$103,0)),""),""))</f>
        <v/>
      </c>
      <c r="I951" s="19">
        <f>IF(OR($F951="",$H951=""),"",$F951-$H951)</f>
        <v/>
      </c>
      <c r="J951" s="21">
        <f>IF($G951="","",$G951-TODAY())</f>
        <v/>
      </c>
      <c r="K951" s="21">
        <f>IF($I951="","",IFERROR(IF(N(INDEX('Cars'!$J$4:$J$103,MATCH($A951,'Cars'!$A$4:$A$103,0)))&gt;0,ROUND($I951/INDEX('Cars'!$J$4:$J$103,MATCH($A951,'Cars'!$A$4:$A$103,0))*30,0),""),""))</f>
        <v/>
      </c>
      <c r="L951" s="21">
        <f>IF(AND($J951="",$K951=""),"",MIN(IF($J951="",99999,$J951),IF($K951="",99999,$K951)))</f>
        <v/>
      </c>
      <c r="M951" s="16">
        <f>IF(AND($I951="",$J951=""),"",IF(OR(AND($I951&lt;&gt;"",N($I951)&lt;0),AND($J951&lt;&gt;"",N($J951)&lt;0)),"Overdue",IF(OR(AND($I951&lt;&gt;"",N($I951)&lt;=IFERROR(INDEX('Intervals'!$E$4:$E$33,MATCH($B951,'Intervals'!$A$4:$A$33,0)),500)),AND($J951&lt;&gt;"",N($J951)&lt;=IFERROR(INDEX('Intervals'!$F$4:$F$33,MATCH($B951,'Intervals'!$A$4:$A$33,0)),14))),"Due soon","OK")))</f>
        <v/>
      </c>
      <c r="N951" s="15" t="n"/>
      <c r="O951" s="22">
        <f>IF(OR($M951="",$M951="OK"),"",$L951+ROW()/100000)</f>
        <v/>
      </c>
    </row>
    <row r="952">
      <c r="A952" s="15" t="n"/>
      <c r="B952" s="15" t="n"/>
      <c r="C952" s="16">
        <f>IF($B952="","",IFERROR(INDEX('Intervals'!$B$4:$B$33,MATCH($B952,'Intervals'!$A$4:$A$33,0)),""))</f>
        <v/>
      </c>
      <c r="D952" s="17" t="n"/>
      <c r="E952" s="18" t="n"/>
      <c r="F952" s="19">
        <f>IF(OR($B952="",$E952=""),"",IFERROR(IF(AND(INDEX('Intervals'!$G$4:$G$33,MATCH($B952,'Intervals'!$A$4:$A$33,0))&lt;&gt;"No",N(INDEX('Intervals'!$C$4:$C$33,MATCH($B952,'Intervals'!$A$4:$A$33,0)))&gt;0),$E952+N(INDEX('Intervals'!$C$4:$C$33,MATCH($B952,'Intervals'!$A$4:$A$33,0))),""),""))</f>
        <v/>
      </c>
      <c r="G952" s="20">
        <f>IF(OR($B952="",$D952=""),"",IFERROR(IF(AND(INDEX('Intervals'!$G$4:$G$33,MATCH($B952,'Intervals'!$A$4:$A$33,0))&lt;&gt;"No",N(INDEX('Intervals'!$D$4:$D$33,MATCH($B952,'Intervals'!$A$4:$A$33,0)))&gt;0),EDATE($D952,N(INDEX('Intervals'!$D$4:$D$33,MATCH($B952,'Intervals'!$A$4:$A$33,0)))),""),""))</f>
        <v/>
      </c>
      <c r="H952" s="19">
        <f>IF($A952="","",IFERROR(IF(N(INDEX('Cars'!$H$4:$H$103,MATCH($A952,'Cars'!$A$4:$A$103,0)))&gt;0,INDEX('Cars'!$H$4:$H$103,MATCH($A952,'Cars'!$A$4:$A$103,0)),""),""))</f>
        <v/>
      </c>
      <c r="I952" s="19">
        <f>IF(OR($F952="",$H952=""),"",$F952-$H952)</f>
        <v/>
      </c>
      <c r="J952" s="21">
        <f>IF($G952="","",$G952-TODAY())</f>
        <v/>
      </c>
      <c r="K952" s="21">
        <f>IF($I952="","",IFERROR(IF(N(INDEX('Cars'!$J$4:$J$103,MATCH($A952,'Cars'!$A$4:$A$103,0)))&gt;0,ROUND($I952/INDEX('Cars'!$J$4:$J$103,MATCH($A952,'Cars'!$A$4:$A$103,0))*30,0),""),""))</f>
        <v/>
      </c>
      <c r="L952" s="21">
        <f>IF(AND($J952="",$K952=""),"",MIN(IF($J952="",99999,$J952),IF($K952="",99999,$K952)))</f>
        <v/>
      </c>
      <c r="M952" s="16">
        <f>IF(AND($I952="",$J952=""),"",IF(OR(AND($I952&lt;&gt;"",N($I952)&lt;0),AND($J952&lt;&gt;"",N($J952)&lt;0)),"Overdue",IF(OR(AND($I952&lt;&gt;"",N($I952)&lt;=IFERROR(INDEX('Intervals'!$E$4:$E$33,MATCH($B952,'Intervals'!$A$4:$A$33,0)),500)),AND($J952&lt;&gt;"",N($J952)&lt;=IFERROR(INDEX('Intervals'!$F$4:$F$33,MATCH($B952,'Intervals'!$A$4:$A$33,0)),14))),"Due soon","OK")))</f>
        <v/>
      </c>
      <c r="N952" s="15" t="n"/>
      <c r="O952" s="22">
        <f>IF(OR($M952="",$M952="OK"),"",$L952+ROW()/100000)</f>
        <v/>
      </c>
    </row>
    <row r="953">
      <c r="A953" s="15" t="n"/>
      <c r="B953" s="15" t="n"/>
      <c r="C953" s="16">
        <f>IF($B953="","",IFERROR(INDEX('Intervals'!$B$4:$B$33,MATCH($B953,'Intervals'!$A$4:$A$33,0)),""))</f>
        <v/>
      </c>
      <c r="D953" s="17" t="n"/>
      <c r="E953" s="18" t="n"/>
      <c r="F953" s="19">
        <f>IF(OR($B953="",$E953=""),"",IFERROR(IF(AND(INDEX('Intervals'!$G$4:$G$33,MATCH($B953,'Intervals'!$A$4:$A$33,0))&lt;&gt;"No",N(INDEX('Intervals'!$C$4:$C$33,MATCH($B953,'Intervals'!$A$4:$A$33,0)))&gt;0),$E953+N(INDEX('Intervals'!$C$4:$C$33,MATCH($B953,'Intervals'!$A$4:$A$33,0))),""),""))</f>
        <v/>
      </c>
      <c r="G953" s="20">
        <f>IF(OR($B953="",$D953=""),"",IFERROR(IF(AND(INDEX('Intervals'!$G$4:$G$33,MATCH($B953,'Intervals'!$A$4:$A$33,0))&lt;&gt;"No",N(INDEX('Intervals'!$D$4:$D$33,MATCH($B953,'Intervals'!$A$4:$A$33,0)))&gt;0),EDATE($D953,N(INDEX('Intervals'!$D$4:$D$33,MATCH($B953,'Intervals'!$A$4:$A$33,0)))),""),""))</f>
        <v/>
      </c>
      <c r="H953" s="19">
        <f>IF($A953="","",IFERROR(IF(N(INDEX('Cars'!$H$4:$H$103,MATCH($A953,'Cars'!$A$4:$A$103,0)))&gt;0,INDEX('Cars'!$H$4:$H$103,MATCH($A953,'Cars'!$A$4:$A$103,0)),""),""))</f>
        <v/>
      </c>
      <c r="I953" s="19">
        <f>IF(OR($F953="",$H953=""),"",$F953-$H953)</f>
        <v/>
      </c>
      <c r="J953" s="21">
        <f>IF($G953="","",$G953-TODAY())</f>
        <v/>
      </c>
      <c r="K953" s="21">
        <f>IF($I953="","",IFERROR(IF(N(INDEX('Cars'!$J$4:$J$103,MATCH($A953,'Cars'!$A$4:$A$103,0)))&gt;0,ROUND($I953/INDEX('Cars'!$J$4:$J$103,MATCH($A953,'Cars'!$A$4:$A$103,0))*30,0),""),""))</f>
        <v/>
      </c>
      <c r="L953" s="21">
        <f>IF(AND($J953="",$K953=""),"",MIN(IF($J953="",99999,$J953),IF($K953="",99999,$K953)))</f>
        <v/>
      </c>
      <c r="M953" s="16">
        <f>IF(AND($I953="",$J953=""),"",IF(OR(AND($I953&lt;&gt;"",N($I953)&lt;0),AND($J953&lt;&gt;"",N($J953)&lt;0)),"Overdue",IF(OR(AND($I953&lt;&gt;"",N($I953)&lt;=IFERROR(INDEX('Intervals'!$E$4:$E$33,MATCH($B953,'Intervals'!$A$4:$A$33,0)),500)),AND($J953&lt;&gt;"",N($J953)&lt;=IFERROR(INDEX('Intervals'!$F$4:$F$33,MATCH($B953,'Intervals'!$A$4:$A$33,0)),14))),"Due soon","OK")))</f>
        <v/>
      </c>
      <c r="N953" s="15" t="n"/>
      <c r="O953" s="22">
        <f>IF(OR($M953="",$M953="OK"),"",$L953+ROW()/100000)</f>
        <v/>
      </c>
    </row>
    <row r="954">
      <c r="A954" s="15" t="n"/>
      <c r="B954" s="15" t="n"/>
      <c r="C954" s="16">
        <f>IF($B954="","",IFERROR(INDEX('Intervals'!$B$4:$B$33,MATCH($B954,'Intervals'!$A$4:$A$33,0)),""))</f>
        <v/>
      </c>
      <c r="D954" s="17" t="n"/>
      <c r="E954" s="18" t="n"/>
      <c r="F954" s="19">
        <f>IF(OR($B954="",$E954=""),"",IFERROR(IF(AND(INDEX('Intervals'!$G$4:$G$33,MATCH($B954,'Intervals'!$A$4:$A$33,0))&lt;&gt;"No",N(INDEX('Intervals'!$C$4:$C$33,MATCH($B954,'Intervals'!$A$4:$A$33,0)))&gt;0),$E954+N(INDEX('Intervals'!$C$4:$C$33,MATCH($B954,'Intervals'!$A$4:$A$33,0))),""),""))</f>
        <v/>
      </c>
      <c r="G954" s="20">
        <f>IF(OR($B954="",$D954=""),"",IFERROR(IF(AND(INDEX('Intervals'!$G$4:$G$33,MATCH($B954,'Intervals'!$A$4:$A$33,0))&lt;&gt;"No",N(INDEX('Intervals'!$D$4:$D$33,MATCH($B954,'Intervals'!$A$4:$A$33,0)))&gt;0),EDATE($D954,N(INDEX('Intervals'!$D$4:$D$33,MATCH($B954,'Intervals'!$A$4:$A$33,0)))),""),""))</f>
        <v/>
      </c>
      <c r="H954" s="19">
        <f>IF($A954="","",IFERROR(IF(N(INDEX('Cars'!$H$4:$H$103,MATCH($A954,'Cars'!$A$4:$A$103,0)))&gt;0,INDEX('Cars'!$H$4:$H$103,MATCH($A954,'Cars'!$A$4:$A$103,0)),""),""))</f>
        <v/>
      </c>
      <c r="I954" s="19">
        <f>IF(OR($F954="",$H954=""),"",$F954-$H954)</f>
        <v/>
      </c>
      <c r="J954" s="21">
        <f>IF($G954="","",$G954-TODAY())</f>
        <v/>
      </c>
      <c r="K954" s="21">
        <f>IF($I954="","",IFERROR(IF(N(INDEX('Cars'!$J$4:$J$103,MATCH($A954,'Cars'!$A$4:$A$103,0)))&gt;0,ROUND($I954/INDEX('Cars'!$J$4:$J$103,MATCH($A954,'Cars'!$A$4:$A$103,0))*30,0),""),""))</f>
        <v/>
      </c>
      <c r="L954" s="21">
        <f>IF(AND($J954="",$K954=""),"",MIN(IF($J954="",99999,$J954),IF($K954="",99999,$K954)))</f>
        <v/>
      </c>
      <c r="M954" s="16">
        <f>IF(AND($I954="",$J954=""),"",IF(OR(AND($I954&lt;&gt;"",N($I954)&lt;0),AND($J954&lt;&gt;"",N($J954)&lt;0)),"Overdue",IF(OR(AND($I954&lt;&gt;"",N($I954)&lt;=IFERROR(INDEX('Intervals'!$E$4:$E$33,MATCH($B954,'Intervals'!$A$4:$A$33,0)),500)),AND($J954&lt;&gt;"",N($J954)&lt;=IFERROR(INDEX('Intervals'!$F$4:$F$33,MATCH($B954,'Intervals'!$A$4:$A$33,0)),14))),"Due soon","OK")))</f>
        <v/>
      </c>
      <c r="N954" s="15" t="n"/>
      <c r="O954" s="22">
        <f>IF(OR($M954="",$M954="OK"),"",$L954+ROW()/100000)</f>
        <v/>
      </c>
    </row>
    <row r="955">
      <c r="A955" s="15" t="n"/>
      <c r="B955" s="15" t="n"/>
      <c r="C955" s="16">
        <f>IF($B955="","",IFERROR(INDEX('Intervals'!$B$4:$B$33,MATCH($B955,'Intervals'!$A$4:$A$33,0)),""))</f>
        <v/>
      </c>
      <c r="D955" s="17" t="n"/>
      <c r="E955" s="18" t="n"/>
      <c r="F955" s="19">
        <f>IF(OR($B955="",$E955=""),"",IFERROR(IF(AND(INDEX('Intervals'!$G$4:$G$33,MATCH($B955,'Intervals'!$A$4:$A$33,0))&lt;&gt;"No",N(INDEX('Intervals'!$C$4:$C$33,MATCH($B955,'Intervals'!$A$4:$A$33,0)))&gt;0),$E955+N(INDEX('Intervals'!$C$4:$C$33,MATCH($B955,'Intervals'!$A$4:$A$33,0))),""),""))</f>
        <v/>
      </c>
      <c r="G955" s="20">
        <f>IF(OR($B955="",$D955=""),"",IFERROR(IF(AND(INDEX('Intervals'!$G$4:$G$33,MATCH($B955,'Intervals'!$A$4:$A$33,0))&lt;&gt;"No",N(INDEX('Intervals'!$D$4:$D$33,MATCH($B955,'Intervals'!$A$4:$A$33,0)))&gt;0),EDATE($D955,N(INDEX('Intervals'!$D$4:$D$33,MATCH($B955,'Intervals'!$A$4:$A$33,0)))),""),""))</f>
        <v/>
      </c>
      <c r="H955" s="19">
        <f>IF($A955="","",IFERROR(IF(N(INDEX('Cars'!$H$4:$H$103,MATCH($A955,'Cars'!$A$4:$A$103,0)))&gt;0,INDEX('Cars'!$H$4:$H$103,MATCH($A955,'Cars'!$A$4:$A$103,0)),""),""))</f>
        <v/>
      </c>
      <c r="I955" s="19">
        <f>IF(OR($F955="",$H955=""),"",$F955-$H955)</f>
        <v/>
      </c>
      <c r="J955" s="21">
        <f>IF($G955="","",$G955-TODAY())</f>
        <v/>
      </c>
      <c r="K955" s="21">
        <f>IF($I955="","",IFERROR(IF(N(INDEX('Cars'!$J$4:$J$103,MATCH($A955,'Cars'!$A$4:$A$103,0)))&gt;0,ROUND($I955/INDEX('Cars'!$J$4:$J$103,MATCH($A955,'Cars'!$A$4:$A$103,0))*30,0),""),""))</f>
        <v/>
      </c>
      <c r="L955" s="21">
        <f>IF(AND($J955="",$K955=""),"",MIN(IF($J955="",99999,$J955),IF($K955="",99999,$K955)))</f>
        <v/>
      </c>
      <c r="M955" s="16">
        <f>IF(AND($I955="",$J955=""),"",IF(OR(AND($I955&lt;&gt;"",N($I955)&lt;0),AND($J955&lt;&gt;"",N($J955)&lt;0)),"Overdue",IF(OR(AND($I955&lt;&gt;"",N($I955)&lt;=IFERROR(INDEX('Intervals'!$E$4:$E$33,MATCH($B955,'Intervals'!$A$4:$A$33,0)),500)),AND($J955&lt;&gt;"",N($J955)&lt;=IFERROR(INDEX('Intervals'!$F$4:$F$33,MATCH($B955,'Intervals'!$A$4:$A$33,0)),14))),"Due soon","OK")))</f>
        <v/>
      </c>
      <c r="N955" s="15" t="n"/>
      <c r="O955" s="22">
        <f>IF(OR($M955="",$M955="OK"),"",$L955+ROW()/100000)</f>
        <v/>
      </c>
    </row>
    <row r="956">
      <c r="A956" s="15" t="n"/>
      <c r="B956" s="15" t="n"/>
      <c r="C956" s="16">
        <f>IF($B956="","",IFERROR(INDEX('Intervals'!$B$4:$B$33,MATCH($B956,'Intervals'!$A$4:$A$33,0)),""))</f>
        <v/>
      </c>
      <c r="D956" s="17" t="n"/>
      <c r="E956" s="18" t="n"/>
      <c r="F956" s="19">
        <f>IF(OR($B956="",$E956=""),"",IFERROR(IF(AND(INDEX('Intervals'!$G$4:$G$33,MATCH($B956,'Intervals'!$A$4:$A$33,0))&lt;&gt;"No",N(INDEX('Intervals'!$C$4:$C$33,MATCH($B956,'Intervals'!$A$4:$A$33,0)))&gt;0),$E956+N(INDEX('Intervals'!$C$4:$C$33,MATCH($B956,'Intervals'!$A$4:$A$33,0))),""),""))</f>
        <v/>
      </c>
      <c r="G956" s="20">
        <f>IF(OR($B956="",$D956=""),"",IFERROR(IF(AND(INDEX('Intervals'!$G$4:$G$33,MATCH($B956,'Intervals'!$A$4:$A$33,0))&lt;&gt;"No",N(INDEX('Intervals'!$D$4:$D$33,MATCH($B956,'Intervals'!$A$4:$A$33,0)))&gt;0),EDATE($D956,N(INDEX('Intervals'!$D$4:$D$33,MATCH($B956,'Intervals'!$A$4:$A$33,0)))),""),""))</f>
        <v/>
      </c>
      <c r="H956" s="19">
        <f>IF($A956="","",IFERROR(IF(N(INDEX('Cars'!$H$4:$H$103,MATCH($A956,'Cars'!$A$4:$A$103,0)))&gt;0,INDEX('Cars'!$H$4:$H$103,MATCH($A956,'Cars'!$A$4:$A$103,0)),""),""))</f>
        <v/>
      </c>
      <c r="I956" s="19">
        <f>IF(OR($F956="",$H956=""),"",$F956-$H956)</f>
        <v/>
      </c>
      <c r="J956" s="21">
        <f>IF($G956="","",$G956-TODAY())</f>
        <v/>
      </c>
      <c r="K956" s="21">
        <f>IF($I956="","",IFERROR(IF(N(INDEX('Cars'!$J$4:$J$103,MATCH($A956,'Cars'!$A$4:$A$103,0)))&gt;0,ROUND($I956/INDEX('Cars'!$J$4:$J$103,MATCH($A956,'Cars'!$A$4:$A$103,0))*30,0),""),""))</f>
        <v/>
      </c>
      <c r="L956" s="21">
        <f>IF(AND($J956="",$K956=""),"",MIN(IF($J956="",99999,$J956),IF($K956="",99999,$K956)))</f>
        <v/>
      </c>
      <c r="M956" s="16">
        <f>IF(AND($I956="",$J956=""),"",IF(OR(AND($I956&lt;&gt;"",N($I956)&lt;0),AND($J956&lt;&gt;"",N($J956)&lt;0)),"Overdue",IF(OR(AND($I956&lt;&gt;"",N($I956)&lt;=IFERROR(INDEX('Intervals'!$E$4:$E$33,MATCH($B956,'Intervals'!$A$4:$A$33,0)),500)),AND($J956&lt;&gt;"",N($J956)&lt;=IFERROR(INDEX('Intervals'!$F$4:$F$33,MATCH($B956,'Intervals'!$A$4:$A$33,0)),14))),"Due soon","OK")))</f>
        <v/>
      </c>
      <c r="N956" s="15" t="n"/>
      <c r="O956" s="22">
        <f>IF(OR($M956="",$M956="OK"),"",$L956+ROW()/100000)</f>
        <v/>
      </c>
    </row>
    <row r="957">
      <c r="A957" s="15" t="n"/>
      <c r="B957" s="15" t="n"/>
      <c r="C957" s="16">
        <f>IF($B957="","",IFERROR(INDEX('Intervals'!$B$4:$B$33,MATCH($B957,'Intervals'!$A$4:$A$33,0)),""))</f>
        <v/>
      </c>
      <c r="D957" s="17" t="n"/>
      <c r="E957" s="18" t="n"/>
      <c r="F957" s="19">
        <f>IF(OR($B957="",$E957=""),"",IFERROR(IF(AND(INDEX('Intervals'!$G$4:$G$33,MATCH($B957,'Intervals'!$A$4:$A$33,0))&lt;&gt;"No",N(INDEX('Intervals'!$C$4:$C$33,MATCH($B957,'Intervals'!$A$4:$A$33,0)))&gt;0),$E957+N(INDEX('Intervals'!$C$4:$C$33,MATCH($B957,'Intervals'!$A$4:$A$33,0))),""),""))</f>
        <v/>
      </c>
      <c r="G957" s="20">
        <f>IF(OR($B957="",$D957=""),"",IFERROR(IF(AND(INDEX('Intervals'!$G$4:$G$33,MATCH($B957,'Intervals'!$A$4:$A$33,0))&lt;&gt;"No",N(INDEX('Intervals'!$D$4:$D$33,MATCH($B957,'Intervals'!$A$4:$A$33,0)))&gt;0),EDATE($D957,N(INDEX('Intervals'!$D$4:$D$33,MATCH($B957,'Intervals'!$A$4:$A$33,0)))),""),""))</f>
        <v/>
      </c>
      <c r="H957" s="19">
        <f>IF($A957="","",IFERROR(IF(N(INDEX('Cars'!$H$4:$H$103,MATCH($A957,'Cars'!$A$4:$A$103,0)))&gt;0,INDEX('Cars'!$H$4:$H$103,MATCH($A957,'Cars'!$A$4:$A$103,0)),""),""))</f>
        <v/>
      </c>
      <c r="I957" s="19">
        <f>IF(OR($F957="",$H957=""),"",$F957-$H957)</f>
        <v/>
      </c>
      <c r="J957" s="21">
        <f>IF($G957="","",$G957-TODAY())</f>
        <v/>
      </c>
      <c r="K957" s="21">
        <f>IF($I957="","",IFERROR(IF(N(INDEX('Cars'!$J$4:$J$103,MATCH($A957,'Cars'!$A$4:$A$103,0)))&gt;0,ROUND($I957/INDEX('Cars'!$J$4:$J$103,MATCH($A957,'Cars'!$A$4:$A$103,0))*30,0),""),""))</f>
        <v/>
      </c>
      <c r="L957" s="21">
        <f>IF(AND($J957="",$K957=""),"",MIN(IF($J957="",99999,$J957),IF($K957="",99999,$K957)))</f>
        <v/>
      </c>
      <c r="M957" s="16">
        <f>IF(AND($I957="",$J957=""),"",IF(OR(AND($I957&lt;&gt;"",N($I957)&lt;0),AND($J957&lt;&gt;"",N($J957)&lt;0)),"Overdue",IF(OR(AND($I957&lt;&gt;"",N($I957)&lt;=IFERROR(INDEX('Intervals'!$E$4:$E$33,MATCH($B957,'Intervals'!$A$4:$A$33,0)),500)),AND($J957&lt;&gt;"",N($J957)&lt;=IFERROR(INDEX('Intervals'!$F$4:$F$33,MATCH($B957,'Intervals'!$A$4:$A$33,0)),14))),"Due soon","OK")))</f>
        <v/>
      </c>
      <c r="N957" s="15" t="n"/>
      <c r="O957" s="22">
        <f>IF(OR($M957="",$M957="OK"),"",$L957+ROW()/100000)</f>
        <v/>
      </c>
    </row>
    <row r="958">
      <c r="A958" s="15" t="n"/>
      <c r="B958" s="15" t="n"/>
      <c r="C958" s="16">
        <f>IF($B958="","",IFERROR(INDEX('Intervals'!$B$4:$B$33,MATCH($B958,'Intervals'!$A$4:$A$33,0)),""))</f>
        <v/>
      </c>
      <c r="D958" s="17" t="n"/>
      <c r="E958" s="18" t="n"/>
      <c r="F958" s="19">
        <f>IF(OR($B958="",$E958=""),"",IFERROR(IF(AND(INDEX('Intervals'!$G$4:$G$33,MATCH($B958,'Intervals'!$A$4:$A$33,0))&lt;&gt;"No",N(INDEX('Intervals'!$C$4:$C$33,MATCH($B958,'Intervals'!$A$4:$A$33,0)))&gt;0),$E958+N(INDEX('Intervals'!$C$4:$C$33,MATCH($B958,'Intervals'!$A$4:$A$33,0))),""),""))</f>
        <v/>
      </c>
      <c r="G958" s="20">
        <f>IF(OR($B958="",$D958=""),"",IFERROR(IF(AND(INDEX('Intervals'!$G$4:$G$33,MATCH($B958,'Intervals'!$A$4:$A$33,0))&lt;&gt;"No",N(INDEX('Intervals'!$D$4:$D$33,MATCH($B958,'Intervals'!$A$4:$A$33,0)))&gt;0),EDATE($D958,N(INDEX('Intervals'!$D$4:$D$33,MATCH($B958,'Intervals'!$A$4:$A$33,0)))),""),""))</f>
        <v/>
      </c>
      <c r="H958" s="19">
        <f>IF($A958="","",IFERROR(IF(N(INDEX('Cars'!$H$4:$H$103,MATCH($A958,'Cars'!$A$4:$A$103,0)))&gt;0,INDEX('Cars'!$H$4:$H$103,MATCH($A958,'Cars'!$A$4:$A$103,0)),""),""))</f>
        <v/>
      </c>
      <c r="I958" s="19">
        <f>IF(OR($F958="",$H958=""),"",$F958-$H958)</f>
        <v/>
      </c>
      <c r="J958" s="21">
        <f>IF($G958="","",$G958-TODAY())</f>
        <v/>
      </c>
      <c r="K958" s="21">
        <f>IF($I958="","",IFERROR(IF(N(INDEX('Cars'!$J$4:$J$103,MATCH($A958,'Cars'!$A$4:$A$103,0)))&gt;0,ROUND($I958/INDEX('Cars'!$J$4:$J$103,MATCH($A958,'Cars'!$A$4:$A$103,0))*30,0),""),""))</f>
        <v/>
      </c>
      <c r="L958" s="21">
        <f>IF(AND($J958="",$K958=""),"",MIN(IF($J958="",99999,$J958),IF($K958="",99999,$K958)))</f>
        <v/>
      </c>
      <c r="M958" s="16">
        <f>IF(AND($I958="",$J958=""),"",IF(OR(AND($I958&lt;&gt;"",N($I958)&lt;0),AND($J958&lt;&gt;"",N($J958)&lt;0)),"Overdue",IF(OR(AND($I958&lt;&gt;"",N($I958)&lt;=IFERROR(INDEX('Intervals'!$E$4:$E$33,MATCH($B958,'Intervals'!$A$4:$A$33,0)),500)),AND($J958&lt;&gt;"",N($J958)&lt;=IFERROR(INDEX('Intervals'!$F$4:$F$33,MATCH($B958,'Intervals'!$A$4:$A$33,0)),14))),"Due soon","OK")))</f>
        <v/>
      </c>
      <c r="N958" s="15" t="n"/>
      <c r="O958" s="22">
        <f>IF(OR($M958="",$M958="OK"),"",$L958+ROW()/100000)</f>
        <v/>
      </c>
    </row>
    <row r="959">
      <c r="A959" s="15" t="n"/>
      <c r="B959" s="15" t="n"/>
      <c r="C959" s="16">
        <f>IF($B959="","",IFERROR(INDEX('Intervals'!$B$4:$B$33,MATCH($B959,'Intervals'!$A$4:$A$33,0)),""))</f>
        <v/>
      </c>
      <c r="D959" s="17" t="n"/>
      <c r="E959" s="18" t="n"/>
      <c r="F959" s="19">
        <f>IF(OR($B959="",$E959=""),"",IFERROR(IF(AND(INDEX('Intervals'!$G$4:$G$33,MATCH($B959,'Intervals'!$A$4:$A$33,0))&lt;&gt;"No",N(INDEX('Intervals'!$C$4:$C$33,MATCH($B959,'Intervals'!$A$4:$A$33,0)))&gt;0),$E959+N(INDEX('Intervals'!$C$4:$C$33,MATCH($B959,'Intervals'!$A$4:$A$33,0))),""),""))</f>
        <v/>
      </c>
      <c r="G959" s="20">
        <f>IF(OR($B959="",$D959=""),"",IFERROR(IF(AND(INDEX('Intervals'!$G$4:$G$33,MATCH($B959,'Intervals'!$A$4:$A$33,0))&lt;&gt;"No",N(INDEX('Intervals'!$D$4:$D$33,MATCH($B959,'Intervals'!$A$4:$A$33,0)))&gt;0),EDATE($D959,N(INDEX('Intervals'!$D$4:$D$33,MATCH($B959,'Intervals'!$A$4:$A$33,0)))),""),""))</f>
        <v/>
      </c>
      <c r="H959" s="19">
        <f>IF($A959="","",IFERROR(IF(N(INDEX('Cars'!$H$4:$H$103,MATCH($A959,'Cars'!$A$4:$A$103,0)))&gt;0,INDEX('Cars'!$H$4:$H$103,MATCH($A959,'Cars'!$A$4:$A$103,0)),""),""))</f>
        <v/>
      </c>
      <c r="I959" s="19">
        <f>IF(OR($F959="",$H959=""),"",$F959-$H959)</f>
        <v/>
      </c>
      <c r="J959" s="21">
        <f>IF($G959="","",$G959-TODAY())</f>
        <v/>
      </c>
      <c r="K959" s="21">
        <f>IF($I959="","",IFERROR(IF(N(INDEX('Cars'!$J$4:$J$103,MATCH($A959,'Cars'!$A$4:$A$103,0)))&gt;0,ROUND($I959/INDEX('Cars'!$J$4:$J$103,MATCH($A959,'Cars'!$A$4:$A$103,0))*30,0),""),""))</f>
        <v/>
      </c>
      <c r="L959" s="21">
        <f>IF(AND($J959="",$K959=""),"",MIN(IF($J959="",99999,$J959),IF($K959="",99999,$K959)))</f>
        <v/>
      </c>
      <c r="M959" s="16">
        <f>IF(AND($I959="",$J959=""),"",IF(OR(AND($I959&lt;&gt;"",N($I959)&lt;0),AND($J959&lt;&gt;"",N($J959)&lt;0)),"Overdue",IF(OR(AND($I959&lt;&gt;"",N($I959)&lt;=IFERROR(INDEX('Intervals'!$E$4:$E$33,MATCH($B959,'Intervals'!$A$4:$A$33,0)),500)),AND($J959&lt;&gt;"",N($J959)&lt;=IFERROR(INDEX('Intervals'!$F$4:$F$33,MATCH($B959,'Intervals'!$A$4:$A$33,0)),14))),"Due soon","OK")))</f>
        <v/>
      </c>
      <c r="N959" s="15" t="n"/>
      <c r="O959" s="22">
        <f>IF(OR($M959="",$M959="OK"),"",$L959+ROW()/100000)</f>
        <v/>
      </c>
    </row>
    <row r="960">
      <c r="A960" s="15" t="n"/>
      <c r="B960" s="15" t="n"/>
      <c r="C960" s="16">
        <f>IF($B960="","",IFERROR(INDEX('Intervals'!$B$4:$B$33,MATCH($B960,'Intervals'!$A$4:$A$33,0)),""))</f>
        <v/>
      </c>
      <c r="D960" s="17" t="n"/>
      <c r="E960" s="18" t="n"/>
      <c r="F960" s="19">
        <f>IF(OR($B960="",$E960=""),"",IFERROR(IF(AND(INDEX('Intervals'!$G$4:$G$33,MATCH($B960,'Intervals'!$A$4:$A$33,0))&lt;&gt;"No",N(INDEX('Intervals'!$C$4:$C$33,MATCH($B960,'Intervals'!$A$4:$A$33,0)))&gt;0),$E960+N(INDEX('Intervals'!$C$4:$C$33,MATCH($B960,'Intervals'!$A$4:$A$33,0))),""),""))</f>
        <v/>
      </c>
      <c r="G960" s="20">
        <f>IF(OR($B960="",$D960=""),"",IFERROR(IF(AND(INDEX('Intervals'!$G$4:$G$33,MATCH($B960,'Intervals'!$A$4:$A$33,0))&lt;&gt;"No",N(INDEX('Intervals'!$D$4:$D$33,MATCH($B960,'Intervals'!$A$4:$A$33,0)))&gt;0),EDATE($D960,N(INDEX('Intervals'!$D$4:$D$33,MATCH($B960,'Intervals'!$A$4:$A$33,0)))),""),""))</f>
        <v/>
      </c>
      <c r="H960" s="19">
        <f>IF($A960="","",IFERROR(IF(N(INDEX('Cars'!$H$4:$H$103,MATCH($A960,'Cars'!$A$4:$A$103,0)))&gt;0,INDEX('Cars'!$H$4:$H$103,MATCH($A960,'Cars'!$A$4:$A$103,0)),""),""))</f>
        <v/>
      </c>
      <c r="I960" s="19">
        <f>IF(OR($F960="",$H960=""),"",$F960-$H960)</f>
        <v/>
      </c>
      <c r="J960" s="21">
        <f>IF($G960="","",$G960-TODAY())</f>
        <v/>
      </c>
      <c r="K960" s="21">
        <f>IF($I960="","",IFERROR(IF(N(INDEX('Cars'!$J$4:$J$103,MATCH($A960,'Cars'!$A$4:$A$103,0)))&gt;0,ROUND($I960/INDEX('Cars'!$J$4:$J$103,MATCH($A960,'Cars'!$A$4:$A$103,0))*30,0),""),""))</f>
        <v/>
      </c>
      <c r="L960" s="21">
        <f>IF(AND($J960="",$K960=""),"",MIN(IF($J960="",99999,$J960),IF($K960="",99999,$K960)))</f>
        <v/>
      </c>
      <c r="M960" s="16">
        <f>IF(AND($I960="",$J960=""),"",IF(OR(AND($I960&lt;&gt;"",N($I960)&lt;0),AND($J960&lt;&gt;"",N($J960)&lt;0)),"Overdue",IF(OR(AND($I960&lt;&gt;"",N($I960)&lt;=IFERROR(INDEX('Intervals'!$E$4:$E$33,MATCH($B960,'Intervals'!$A$4:$A$33,0)),500)),AND($J960&lt;&gt;"",N($J960)&lt;=IFERROR(INDEX('Intervals'!$F$4:$F$33,MATCH($B960,'Intervals'!$A$4:$A$33,0)),14))),"Due soon","OK")))</f>
        <v/>
      </c>
      <c r="N960" s="15" t="n"/>
      <c r="O960" s="22">
        <f>IF(OR($M960="",$M960="OK"),"",$L960+ROW()/100000)</f>
        <v/>
      </c>
    </row>
    <row r="961">
      <c r="A961" s="15" t="n"/>
      <c r="B961" s="15" t="n"/>
      <c r="C961" s="16">
        <f>IF($B961="","",IFERROR(INDEX('Intervals'!$B$4:$B$33,MATCH($B961,'Intervals'!$A$4:$A$33,0)),""))</f>
        <v/>
      </c>
      <c r="D961" s="17" t="n"/>
      <c r="E961" s="18" t="n"/>
      <c r="F961" s="19">
        <f>IF(OR($B961="",$E961=""),"",IFERROR(IF(AND(INDEX('Intervals'!$G$4:$G$33,MATCH($B961,'Intervals'!$A$4:$A$33,0))&lt;&gt;"No",N(INDEX('Intervals'!$C$4:$C$33,MATCH($B961,'Intervals'!$A$4:$A$33,0)))&gt;0),$E961+N(INDEX('Intervals'!$C$4:$C$33,MATCH($B961,'Intervals'!$A$4:$A$33,0))),""),""))</f>
        <v/>
      </c>
      <c r="G961" s="20">
        <f>IF(OR($B961="",$D961=""),"",IFERROR(IF(AND(INDEX('Intervals'!$G$4:$G$33,MATCH($B961,'Intervals'!$A$4:$A$33,0))&lt;&gt;"No",N(INDEX('Intervals'!$D$4:$D$33,MATCH($B961,'Intervals'!$A$4:$A$33,0)))&gt;0),EDATE($D961,N(INDEX('Intervals'!$D$4:$D$33,MATCH($B961,'Intervals'!$A$4:$A$33,0)))),""),""))</f>
        <v/>
      </c>
      <c r="H961" s="19">
        <f>IF($A961="","",IFERROR(IF(N(INDEX('Cars'!$H$4:$H$103,MATCH($A961,'Cars'!$A$4:$A$103,0)))&gt;0,INDEX('Cars'!$H$4:$H$103,MATCH($A961,'Cars'!$A$4:$A$103,0)),""),""))</f>
        <v/>
      </c>
      <c r="I961" s="19">
        <f>IF(OR($F961="",$H961=""),"",$F961-$H961)</f>
        <v/>
      </c>
      <c r="J961" s="21">
        <f>IF($G961="","",$G961-TODAY())</f>
        <v/>
      </c>
      <c r="K961" s="21">
        <f>IF($I961="","",IFERROR(IF(N(INDEX('Cars'!$J$4:$J$103,MATCH($A961,'Cars'!$A$4:$A$103,0)))&gt;0,ROUND($I961/INDEX('Cars'!$J$4:$J$103,MATCH($A961,'Cars'!$A$4:$A$103,0))*30,0),""),""))</f>
        <v/>
      </c>
      <c r="L961" s="21">
        <f>IF(AND($J961="",$K961=""),"",MIN(IF($J961="",99999,$J961),IF($K961="",99999,$K961)))</f>
        <v/>
      </c>
      <c r="M961" s="16">
        <f>IF(AND($I961="",$J961=""),"",IF(OR(AND($I961&lt;&gt;"",N($I961)&lt;0),AND($J961&lt;&gt;"",N($J961)&lt;0)),"Overdue",IF(OR(AND($I961&lt;&gt;"",N($I961)&lt;=IFERROR(INDEX('Intervals'!$E$4:$E$33,MATCH($B961,'Intervals'!$A$4:$A$33,0)),500)),AND($J961&lt;&gt;"",N($J961)&lt;=IFERROR(INDEX('Intervals'!$F$4:$F$33,MATCH($B961,'Intervals'!$A$4:$A$33,0)),14))),"Due soon","OK")))</f>
        <v/>
      </c>
      <c r="N961" s="15" t="n"/>
      <c r="O961" s="22">
        <f>IF(OR($M961="",$M961="OK"),"",$L961+ROW()/100000)</f>
        <v/>
      </c>
    </row>
    <row r="962">
      <c r="A962" s="15" t="n"/>
      <c r="B962" s="15" t="n"/>
      <c r="C962" s="16">
        <f>IF($B962="","",IFERROR(INDEX('Intervals'!$B$4:$B$33,MATCH($B962,'Intervals'!$A$4:$A$33,0)),""))</f>
        <v/>
      </c>
      <c r="D962" s="17" t="n"/>
      <c r="E962" s="18" t="n"/>
      <c r="F962" s="19">
        <f>IF(OR($B962="",$E962=""),"",IFERROR(IF(AND(INDEX('Intervals'!$G$4:$G$33,MATCH($B962,'Intervals'!$A$4:$A$33,0))&lt;&gt;"No",N(INDEX('Intervals'!$C$4:$C$33,MATCH($B962,'Intervals'!$A$4:$A$33,0)))&gt;0),$E962+N(INDEX('Intervals'!$C$4:$C$33,MATCH($B962,'Intervals'!$A$4:$A$33,0))),""),""))</f>
        <v/>
      </c>
      <c r="G962" s="20">
        <f>IF(OR($B962="",$D962=""),"",IFERROR(IF(AND(INDEX('Intervals'!$G$4:$G$33,MATCH($B962,'Intervals'!$A$4:$A$33,0))&lt;&gt;"No",N(INDEX('Intervals'!$D$4:$D$33,MATCH($B962,'Intervals'!$A$4:$A$33,0)))&gt;0),EDATE($D962,N(INDEX('Intervals'!$D$4:$D$33,MATCH($B962,'Intervals'!$A$4:$A$33,0)))),""),""))</f>
        <v/>
      </c>
      <c r="H962" s="19">
        <f>IF($A962="","",IFERROR(IF(N(INDEX('Cars'!$H$4:$H$103,MATCH($A962,'Cars'!$A$4:$A$103,0)))&gt;0,INDEX('Cars'!$H$4:$H$103,MATCH($A962,'Cars'!$A$4:$A$103,0)),""),""))</f>
        <v/>
      </c>
      <c r="I962" s="19">
        <f>IF(OR($F962="",$H962=""),"",$F962-$H962)</f>
        <v/>
      </c>
      <c r="J962" s="21">
        <f>IF($G962="","",$G962-TODAY())</f>
        <v/>
      </c>
      <c r="K962" s="21">
        <f>IF($I962="","",IFERROR(IF(N(INDEX('Cars'!$J$4:$J$103,MATCH($A962,'Cars'!$A$4:$A$103,0)))&gt;0,ROUND($I962/INDEX('Cars'!$J$4:$J$103,MATCH($A962,'Cars'!$A$4:$A$103,0))*30,0),""),""))</f>
        <v/>
      </c>
      <c r="L962" s="21">
        <f>IF(AND($J962="",$K962=""),"",MIN(IF($J962="",99999,$J962),IF($K962="",99999,$K962)))</f>
        <v/>
      </c>
      <c r="M962" s="16">
        <f>IF(AND($I962="",$J962=""),"",IF(OR(AND($I962&lt;&gt;"",N($I962)&lt;0),AND($J962&lt;&gt;"",N($J962)&lt;0)),"Overdue",IF(OR(AND($I962&lt;&gt;"",N($I962)&lt;=IFERROR(INDEX('Intervals'!$E$4:$E$33,MATCH($B962,'Intervals'!$A$4:$A$33,0)),500)),AND($J962&lt;&gt;"",N($J962)&lt;=IFERROR(INDEX('Intervals'!$F$4:$F$33,MATCH($B962,'Intervals'!$A$4:$A$33,0)),14))),"Due soon","OK")))</f>
        <v/>
      </c>
      <c r="N962" s="15" t="n"/>
      <c r="O962" s="22">
        <f>IF(OR($M962="",$M962="OK"),"",$L962+ROW()/100000)</f>
        <v/>
      </c>
    </row>
    <row r="963">
      <c r="A963" s="15" t="n"/>
      <c r="B963" s="15" t="n"/>
      <c r="C963" s="16">
        <f>IF($B963="","",IFERROR(INDEX('Intervals'!$B$4:$B$33,MATCH($B963,'Intervals'!$A$4:$A$33,0)),""))</f>
        <v/>
      </c>
      <c r="D963" s="17" t="n"/>
      <c r="E963" s="18" t="n"/>
      <c r="F963" s="19">
        <f>IF(OR($B963="",$E963=""),"",IFERROR(IF(AND(INDEX('Intervals'!$G$4:$G$33,MATCH($B963,'Intervals'!$A$4:$A$33,0))&lt;&gt;"No",N(INDEX('Intervals'!$C$4:$C$33,MATCH($B963,'Intervals'!$A$4:$A$33,0)))&gt;0),$E963+N(INDEX('Intervals'!$C$4:$C$33,MATCH($B963,'Intervals'!$A$4:$A$33,0))),""),""))</f>
        <v/>
      </c>
      <c r="G963" s="20">
        <f>IF(OR($B963="",$D963=""),"",IFERROR(IF(AND(INDEX('Intervals'!$G$4:$G$33,MATCH($B963,'Intervals'!$A$4:$A$33,0))&lt;&gt;"No",N(INDEX('Intervals'!$D$4:$D$33,MATCH($B963,'Intervals'!$A$4:$A$33,0)))&gt;0),EDATE($D963,N(INDEX('Intervals'!$D$4:$D$33,MATCH($B963,'Intervals'!$A$4:$A$33,0)))),""),""))</f>
        <v/>
      </c>
      <c r="H963" s="19">
        <f>IF($A963="","",IFERROR(IF(N(INDEX('Cars'!$H$4:$H$103,MATCH($A963,'Cars'!$A$4:$A$103,0)))&gt;0,INDEX('Cars'!$H$4:$H$103,MATCH($A963,'Cars'!$A$4:$A$103,0)),""),""))</f>
        <v/>
      </c>
      <c r="I963" s="19">
        <f>IF(OR($F963="",$H963=""),"",$F963-$H963)</f>
        <v/>
      </c>
      <c r="J963" s="21">
        <f>IF($G963="","",$G963-TODAY())</f>
        <v/>
      </c>
      <c r="K963" s="21">
        <f>IF($I963="","",IFERROR(IF(N(INDEX('Cars'!$J$4:$J$103,MATCH($A963,'Cars'!$A$4:$A$103,0)))&gt;0,ROUND($I963/INDEX('Cars'!$J$4:$J$103,MATCH($A963,'Cars'!$A$4:$A$103,0))*30,0),""),""))</f>
        <v/>
      </c>
      <c r="L963" s="21">
        <f>IF(AND($J963="",$K963=""),"",MIN(IF($J963="",99999,$J963),IF($K963="",99999,$K963)))</f>
        <v/>
      </c>
      <c r="M963" s="16">
        <f>IF(AND($I963="",$J963=""),"",IF(OR(AND($I963&lt;&gt;"",N($I963)&lt;0),AND($J963&lt;&gt;"",N($J963)&lt;0)),"Overdue",IF(OR(AND($I963&lt;&gt;"",N($I963)&lt;=IFERROR(INDEX('Intervals'!$E$4:$E$33,MATCH($B963,'Intervals'!$A$4:$A$33,0)),500)),AND($J963&lt;&gt;"",N($J963)&lt;=IFERROR(INDEX('Intervals'!$F$4:$F$33,MATCH($B963,'Intervals'!$A$4:$A$33,0)),14))),"Due soon","OK")))</f>
        <v/>
      </c>
      <c r="N963" s="15" t="n"/>
      <c r="O963" s="22">
        <f>IF(OR($M963="",$M963="OK"),"",$L963+ROW()/100000)</f>
        <v/>
      </c>
    </row>
    <row r="964">
      <c r="A964" s="15" t="n"/>
      <c r="B964" s="15" t="n"/>
      <c r="C964" s="16">
        <f>IF($B964="","",IFERROR(INDEX('Intervals'!$B$4:$B$33,MATCH($B964,'Intervals'!$A$4:$A$33,0)),""))</f>
        <v/>
      </c>
      <c r="D964" s="17" t="n"/>
      <c r="E964" s="18" t="n"/>
      <c r="F964" s="19">
        <f>IF(OR($B964="",$E964=""),"",IFERROR(IF(AND(INDEX('Intervals'!$G$4:$G$33,MATCH($B964,'Intervals'!$A$4:$A$33,0))&lt;&gt;"No",N(INDEX('Intervals'!$C$4:$C$33,MATCH($B964,'Intervals'!$A$4:$A$33,0)))&gt;0),$E964+N(INDEX('Intervals'!$C$4:$C$33,MATCH($B964,'Intervals'!$A$4:$A$33,0))),""),""))</f>
        <v/>
      </c>
      <c r="G964" s="20">
        <f>IF(OR($B964="",$D964=""),"",IFERROR(IF(AND(INDEX('Intervals'!$G$4:$G$33,MATCH($B964,'Intervals'!$A$4:$A$33,0))&lt;&gt;"No",N(INDEX('Intervals'!$D$4:$D$33,MATCH($B964,'Intervals'!$A$4:$A$33,0)))&gt;0),EDATE($D964,N(INDEX('Intervals'!$D$4:$D$33,MATCH($B964,'Intervals'!$A$4:$A$33,0)))),""),""))</f>
        <v/>
      </c>
      <c r="H964" s="19">
        <f>IF($A964="","",IFERROR(IF(N(INDEX('Cars'!$H$4:$H$103,MATCH($A964,'Cars'!$A$4:$A$103,0)))&gt;0,INDEX('Cars'!$H$4:$H$103,MATCH($A964,'Cars'!$A$4:$A$103,0)),""),""))</f>
        <v/>
      </c>
      <c r="I964" s="19">
        <f>IF(OR($F964="",$H964=""),"",$F964-$H964)</f>
        <v/>
      </c>
      <c r="J964" s="21">
        <f>IF($G964="","",$G964-TODAY())</f>
        <v/>
      </c>
      <c r="K964" s="21">
        <f>IF($I964="","",IFERROR(IF(N(INDEX('Cars'!$J$4:$J$103,MATCH($A964,'Cars'!$A$4:$A$103,0)))&gt;0,ROUND($I964/INDEX('Cars'!$J$4:$J$103,MATCH($A964,'Cars'!$A$4:$A$103,0))*30,0),""),""))</f>
        <v/>
      </c>
      <c r="L964" s="21">
        <f>IF(AND($J964="",$K964=""),"",MIN(IF($J964="",99999,$J964),IF($K964="",99999,$K964)))</f>
        <v/>
      </c>
      <c r="M964" s="16">
        <f>IF(AND($I964="",$J964=""),"",IF(OR(AND($I964&lt;&gt;"",N($I964)&lt;0),AND($J964&lt;&gt;"",N($J964)&lt;0)),"Overdue",IF(OR(AND($I964&lt;&gt;"",N($I964)&lt;=IFERROR(INDEX('Intervals'!$E$4:$E$33,MATCH($B964,'Intervals'!$A$4:$A$33,0)),500)),AND($J964&lt;&gt;"",N($J964)&lt;=IFERROR(INDEX('Intervals'!$F$4:$F$33,MATCH($B964,'Intervals'!$A$4:$A$33,0)),14))),"Due soon","OK")))</f>
        <v/>
      </c>
      <c r="N964" s="15" t="n"/>
      <c r="O964" s="22">
        <f>IF(OR($M964="",$M964="OK"),"",$L964+ROW()/100000)</f>
        <v/>
      </c>
    </row>
    <row r="965">
      <c r="A965" s="15" t="n"/>
      <c r="B965" s="15" t="n"/>
      <c r="C965" s="16">
        <f>IF($B965="","",IFERROR(INDEX('Intervals'!$B$4:$B$33,MATCH($B965,'Intervals'!$A$4:$A$33,0)),""))</f>
        <v/>
      </c>
      <c r="D965" s="17" t="n"/>
      <c r="E965" s="18" t="n"/>
      <c r="F965" s="19">
        <f>IF(OR($B965="",$E965=""),"",IFERROR(IF(AND(INDEX('Intervals'!$G$4:$G$33,MATCH($B965,'Intervals'!$A$4:$A$33,0))&lt;&gt;"No",N(INDEX('Intervals'!$C$4:$C$33,MATCH($B965,'Intervals'!$A$4:$A$33,0)))&gt;0),$E965+N(INDEX('Intervals'!$C$4:$C$33,MATCH($B965,'Intervals'!$A$4:$A$33,0))),""),""))</f>
        <v/>
      </c>
      <c r="G965" s="20">
        <f>IF(OR($B965="",$D965=""),"",IFERROR(IF(AND(INDEX('Intervals'!$G$4:$G$33,MATCH($B965,'Intervals'!$A$4:$A$33,0))&lt;&gt;"No",N(INDEX('Intervals'!$D$4:$D$33,MATCH($B965,'Intervals'!$A$4:$A$33,0)))&gt;0),EDATE($D965,N(INDEX('Intervals'!$D$4:$D$33,MATCH($B965,'Intervals'!$A$4:$A$33,0)))),""),""))</f>
        <v/>
      </c>
      <c r="H965" s="19">
        <f>IF($A965="","",IFERROR(IF(N(INDEX('Cars'!$H$4:$H$103,MATCH($A965,'Cars'!$A$4:$A$103,0)))&gt;0,INDEX('Cars'!$H$4:$H$103,MATCH($A965,'Cars'!$A$4:$A$103,0)),""),""))</f>
        <v/>
      </c>
      <c r="I965" s="19">
        <f>IF(OR($F965="",$H965=""),"",$F965-$H965)</f>
        <v/>
      </c>
      <c r="J965" s="21">
        <f>IF($G965="","",$G965-TODAY())</f>
        <v/>
      </c>
      <c r="K965" s="21">
        <f>IF($I965="","",IFERROR(IF(N(INDEX('Cars'!$J$4:$J$103,MATCH($A965,'Cars'!$A$4:$A$103,0)))&gt;0,ROUND($I965/INDEX('Cars'!$J$4:$J$103,MATCH($A965,'Cars'!$A$4:$A$103,0))*30,0),""),""))</f>
        <v/>
      </c>
      <c r="L965" s="21">
        <f>IF(AND($J965="",$K965=""),"",MIN(IF($J965="",99999,$J965),IF($K965="",99999,$K965)))</f>
        <v/>
      </c>
      <c r="M965" s="16">
        <f>IF(AND($I965="",$J965=""),"",IF(OR(AND($I965&lt;&gt;"",N($I965)&lt;0),AND($J965&lt;&gt;"",N($J965)&lt;0)),"Overdue",IF(OR(AND($I965&lt;&gt;"",N($I965)&lt;=IFERROR(INDEX('Intervals'!$E$4:$E$33,MATCH($B965,'Intervals'!$A$4:$A$33,0)),500)),AND($J965&lt;&gt;"",N($J965)&lt;=IFERROR(INDEX('Intervals'!$F$4:$F$33,MATCH($B965,'Intervals'!$A$4:$A$33,0)),14))),"Due soon","OK")))</f>
        <v/>
      </c>
      <c r="N965" s="15" t="n"/>
      <c r="O965" s="22">
        <f>IF(OR($M965="",$M965="OK"),"",$L965+ROW()/100000)</f>
        <v/>
      </c>
    </row>
    <row r="966">
      <c r="A966" s="15" t="n"/>
      <c r="B966" s="15" t="n"/>
      <c r="C966" s="16">
        <f>IF($B966="","",IFERROR(INDEX('Intervals'!$B$4:$B$33,MATCH($B966,'Intervals'!$A$4:$A$33,0)),""))</f>
        <v/>
      </c>
      <c r="D966" s="17" t="n"/>
      <c r="E966" s="18" t="n"/>
      <c r="F966" s="19">
        <f>IF(OR($B966="",$E966=""),"",IFERROR(IF(AND(INDEX('Intervals'!$G$4:$G$33,MATCH($B966,'Intervals'!$A$4:$A$33,0))&lt;&gt;"No",N(INDEX('Intervals'!$C$4:$C$33,MATCH($B966,'Intervals'!$A$4:$A$33,0)))&gt;0),$E966+N(INDEX('Intervals'!$C$4:$C$33,MATCH($B966,'Intervals'!$A$4:$A$33,0))),""),""))</f>
        <v/>
      </c>
      <c r="G966" s="20">
        <f>IF(OR($B966="",$D966=""),"",IFERROR(IF(AND(INDEX('Intervals'!$G$4:$G$33,MATCH($B966,'Intervals'!$A$4:$A$33,0))&lt;&gt;"No",N(INDEX('Intervals'!$D$4:$D$33,MATCH($B966,'Intervals'!$A$4:$A$33,0)))&gt;0),EDATE($D966,N(INDEX('Intervals'!$D$4:$D$33,MATCH($B966,'Intervals'!$A$4:$A$33,0)))),""),""))</f>
        <v/>
      </c>
      <c r="H966" s="19">
        <f>IF($A966="","",IFERROR(IF(N(INDEX('Cars'!$H$4:$H$103,MATCH($A966,'Cars'!$A$4:$A$103,0)))&gt;0,INDEX('Cars'!$H$4:$H$103,MATCH($A966,'Cars'!$A$4:$A$103,0)),""),""))</f>
        <v/>
      </c>
      <c r="I966" s="19">
        <f>IF(OR($F966="",$H966=""),"",$F966-$H966)</f>
        <v/>
      </c>
      <c r="J966" s="21">
        <f>IF($G966="","",$G966-TODAY())</f>
        <v/>
      </c>
      <c r="K966" s="21">
        <f>IF($I966="","",IFERROR(IF(N(INDEX('Cars'!$J$4:$J$103,MATCH($A966,'Cars'!$A$4:$A$103,0)))&gt;0,ROUND($I966/INDEX('Cars'!$J$4:$J$103,MATCH($A966,'Cars'!$A$4:$A$103,0))*30,0),""),""))</f>
        <v/>
      </c>
      <c r="L966" s="21">
        <f>IF(AND($J966="",$K966=""),"",MIN(IF($J966="",99999,$J966),IF($K966="",99999,$K966)))</f>
        <v/>
      </c>
      <c r="M966" s="16">
        <f>IF(AND($I966="",$J966=""),"",IF(OR(AND($I966&lt;&gt;"",N($I966)&lt;0),AND($J966&lt;&gt;"",N($J966)&lt;0)),"Overdue",IF(OR(AND($I966&lt;&gt;"",N($I966)&lt;=IFERROR(INDEX('Intervals'!$E$4:$E$33,MATCH($B966,'Intervals'!$A$4:$A$33,0)),500)),AND($J966&lt;&gt;"",N($J966)&lt;=IFERROR(INDEX('Intervals'!$F$4:$F$33,MATCH($B966,'Intervals'!$A$4:$A$33,0)),14))),"Due soon","OK")))</f>
        <v/>
      </c>
      <c r="N966" s="15" t="n"/>
      <c r="O966" s="22">
        <f>IF(OR($M966="",$M966="OK"),"",$L966+ROW()/100000)</f>
        <v/>
      </c>
    </row>
    <row r="967">
      <c r="A967" s="15" t="n"/>
      <c r="B967" s="15" t="n"/>
      <c r="C967" s="16">
        <f>IF($B967="","",IFERROR(INDEX('Intervals'!$B$4:$B$33,MATCH($B967,'Intervals'!$A$4:$A$33,0)),""))</f>
        <v/>
      </c>
      <c r="D967" s="17" t="n"/>
      <c r="E967" s="18" t="n"/>
      <c r="F967" s="19">
        <f>IF(OR($B967="",$E967=""),"",IFERROR(IF(AND(INDEX('Intervals'!$G$4:$G$33,MATCH($B967,'Intervals'!$A$4:$A$33,0))&lt;&gt;"No",N(INDEX('Intervals'!$C$4:$C$33,MATCH($B967,'Intervals'!$A$4:$A$33,0)))&gt;0),$E967+N(INDEX('Intervals'!$C$4:$C$33,MATCH($B967,'Intervals'!$A$4:$A$33,0))),""),""))</f>
        <v/>
      </c>
      <c r="G967" s="20">
        <f>IF(OR($B967="",$D967=""),"",IFERROR(IF(AND(INDEX('Intervals'!$G$4:$G$33,MATCH($B967,'Intervals'!$A$4:$A$33,0))&lt;&gt;"No",N(INDEX('Intervals'!$D$4:$D$33,MATCH($B967,'Intervals'!$A$4:$A$33,0)))&gt;0),EDATE($D967,N(INDEX('Intervals'!$D$4:$D$33,MATCH($B967,'Intervals'!$A$4:$A$33,0)))),""),""))</f>
        <v/>
      </c>
      <c r="H967" s="19">
        <f>IF($A967="","",IFERROR(IF(N(INDEX('Cars'!$H$4:$H$103,MATCH($A967,'Cars'!$A$4:$A$103,0)))&gt;0,INDEX('Cars'!$H$4:$H$103,MATCH($A967,'Cars'!$A$4:$A$103,0)),""),""))</f>
        <v/>
      </c>
      <c r="I967" s="19">
        <f>IF(OR($F967="",$H967=""),"",$F967-$H967)</f>
        <v/>
      </c>
      <c r="J967" s="21">
        <f>IF($G967="","",$G967-TODAY())</f>
        <v/>
      </c>
      <c r="K967" s="21">
        <f>IF($I967="","",IFERROR(IF(N(INDEX('Cars'!$J$4:$J$103,MATCH($A967,'Cars'!$A$4:$A$103,0)))&gt;0,ROUND($I967/INDEX('Cars'!$J$4:$J$103,MATCH($A967,'Cars'!$A$4:$A$103,0))*30,0),""),""))</f>
        <v/>
      </c>
      <c r="L967" s="21">
        <f>IF(AND($J967="",$K967=""),"",MIN(IF($J967="",99999,$J967),IF($K967="",99999,$K967)))</f>
        <v/>
      </c>
      <c r="M967" s="16">
        <f>IF(AND($I967="",$J967=""),"",IF(OR(AND($I967&lt;&gt;"",N($I967)&lt;0),AND($J967&lt;&gt;"",N($J967)&lt;0)),"Overdue",IF(OR(AND($I967&lt;&gt;"",N($I967)&lt;=IFERROR(INDEX('Intervals'!$E$4:$E$33,MATCH($B967,'Intervals'!$A$4:$A$33,0)),500)),AND($J967&lt;&gt;"",N($J967)&lt;=IFERROR(INDEX('Intervals'!$F$4:$F$33,MATCH($B967,'Intervals'!$A$4:$A$33,0)),14))),"Due soon","OK")))</f>
        <v/>
      </c>
      <c r="N967" s="15" t="n"/>
      <c r="O967" s="22">
        <f>IF(OR($M967="",$M967="OK"),"",$L967+ROW()/100000)</f>
        <v/>
      </c>
    </row>
    <row r="968">
      <c r="A968" s="15" t="n"/>
      <c r="B968" s="15" t="n"/>
      <c r="C968" s="16">
        <f>IF($B968="","",IFERROR(INDEX('Intervals'!$B$4:$B$33,MATCH($B968,'Intervals'!$A$4:$A$33,0)),""))</f>
        <v/>
      </c>
      <c r="D968" s="17" t="n"/>
      <c r="E968" s="18" t="n"/>
      <c r="F968" s="19">
        <f>IF(OR($B968="",$E968=""),"",IFERROR(IF(AND(INDEX('Intervals'!$G$4:$G$33,MATCH($B968,'Intervals'!$A$4:$A$33,0))&lt;&gt;"No",N(INDEX('Intervals'!$C$4:$C$33,MATCH($B968,'Intervals'!$A$4:$A$33,0)))&gt;0),$E968+N(INDEX('Intervals'!$C$4:$C$33,MATCH($B968,'Intervals'!$A$4:$A$33,0))),""),""))</f>
        <v/>
      </c>
      <c r="G968" s="20">
        <f>IF(OR($B968="",$D968=""),"",IFERROR(IF(AND(INDEX('Intervals'!$G$4:$G$33,MATCH($B968,'Intervals'!$A$4:$A$33,0))&lt;&gt;"No",N(INDEX('Intervals'!$D$4:$D$33,MATCH($B968,'Intervals'!$A$4:$A$33,0)))&gt;0),EDATE($D968,N(INDEX('Intervals'!$D$4:$D$33,MATCH($B968,'Intervals'!$A$4:$A$33,0)))),""),""))</f>
        <v/>
      </c>
      <c r="H968" s="19">
        <f>IF($A968="","",IFERROR(IF(N(INDEX('Cars'!$H$4:$H$103,MATCH($A968,'Cars'!$A$4:$A$103,0)))&gt;0,INDEX('Cars'!$H$4:$H$103,MATCH($A968,'Cars'!$A$4:$A$103,0)),""),""))</f>
        <v/>
      </c>
      <c r="I968" s="19">
        <f>IF(OR($F968="",$H968=""),"",$F968-$H968)</f>
        <v/>
      </c>
      <c r="J968" s="21">
        <f>IF($G968="","",$G968-TODAY())</f>
        <v/>
      </c>
      <c r="K968" s="21">
        <f>IF($I968="","",IFERROR(IF(N(INDEX('Cars'!$J$4:$J$103,MATCH($A968,'Cars'!$A$4:$A$103,0)))&gt;0,ROUND($I968/INDEX('Cars'!$J$4:$J$103,MATCH($A968,'Cars'!$A$4:$A$103,0))*30,0),""),""))</f>
        <v/>
      </c>
      <c r="L968" s="21">
        <f>IF(AND($J968="",$K968=""),"",MIN(IF($J968="",99999,$J968),IF($K968="",99999,$K968)))</f>
        <v/>
      </c>
      <c r="M968" s="16">
        <f>IF(AND($I968="",$J968=""),"",IF(OR(AND($I968&lt;&gt;"",N($I968)&lt;0),AND($J968&lt;&gt;"",N($J968)&lt;0)),"Overdue",IF(OR(AND($I968&lt;&gt;"",N($I968)&lt;=IFERROR(INDEX('Intervals'!$E$4:$E$33,MATCH($B968,'Intervals'!$A$4:$A$33,0)),500)),AND($J968&lt;&gt;"",N($J968)&lt;=IFERROR(INDEX('Intervals'!$F$4:$F$33,MATCH($B968,'Intervals'!$A$4:$A$33,0)),14))),"Due soon","OK")))</f>
        <v/>
      </c>
      <c r="N968" s="15" t="n"/>
      <c r="O968" s="22">
        <f>IF(OR($M968="",$M968="OK"),"",$L968+ROW()/100000)</f>
        <v/>
      </c>
    </row>
    <row r="969">
      <c r="A969" s="15" t="n"/>
      <c r="B969" s="15" t="n"/>
      <c r="C969" s="16">
        <f>IF($B969="","",IFERROR(INDEX('Intervals'!$B$4:$B$33,MATCH($B969,'Intervals'!$A$4:$A$33,0)),""))</f>
        <v/>
      </c>
      <c r="D969" s="17" t="n"/>
      <c r="E969" s="18" t="n"/>
      <c r="F969" s="19">
        <f>IF(OR($B969="",$E969=""),"",IFERROR(IF(AND(INDEX('Intervals'!$G$4:$G$33,MATCH($B969,'Intervals'!$A$4:$A$33,0))&lt;&gt;"No",N(INDEX('Intervals'!$C$4:$C$33,MATCH($B969,'Intervals'!$A$4:$A$33,0)))&gt;0),$E969+N(INDEX('Intervals'!$C$4:$C$33,MATCH($B969,'Intervals'!$A$4:$A$33,0))),""),""))</f>
        <v/>
      </c>
      <c r="G969" s="20">
        <f>IF(OR($B969="",$D969=""),"",IFERROR(IF(AND(INDEX('Intervals'!$G$4:$G$33,MATCH($B969,'Intervals'!$A$4:$A$33,0))&lt;&gt;"No",N(INDEX('Intervals'!$D$4:$D$33,MATCH($B969,'Intervals'!$A$4:$A$33,0)))&gt;0),EDATE($D969,N(INDEX('Intervals'!$D$4:$D$33,MATCH($B969,'Intervals'!$A$4:$A$33,0)))),""),""))</f>
        <v/>
      </c>
      <c r="H969" s="19">
        <f>IF($A969="","",IFERROR(IF(N(INDEX('Cars'!$H$4:$H$103,MATCH($A969,'Cars'!$A$4:$A$103,0)))&gt;0,INDEX('Cars'!$H$4:$H$103,MATCH($A969,'Cars'!$A$4:$A$103,0)),""),""))</f>
        <v/>
      </c>
      <c r="I969" s="19">
        <f>IF(OR($F969="",$H969=""),"",$F969-$H969)</f>
        <v/>
      </c>
      <c r="J969" s="21">
        <f>IF($G969="","",$G969-TODAY())</f>
        <v/>
      </c>
      <c r="K969" s="21">
        <f>IF($I969="","",IFERROR(IF(N(INDEX('Cars'!$J$4:$J$103,MATCH($A969,'Cars'!$A$4:$A$103,0)))&gt;0,ROUND($I969/INDEX('Cars'!$J$4:$J$103,MATCH($A969,'Cars'!$A$4:$A$103,0))*30,0),""),""))</f>
        <v/>
      </c>
      <c r="L969" s="21">
        <f>IF(AND($J969="",$K969=""),"",MIN(IF($J969="",99999,$J969),IF($K969="",99999,$K969)))</f>
        <v/>
      </c>
      <c r="M969" s="16">
        <f>IF(AND($I969="",$J969=""),"",IF(OR(AND($I969&lt;&gt;"",N($I969)&lt;0),AND($J969&lt;&gt;"",N($J969)&lt;0)),"Overdue",IF(OR(AND($I969&lt;&gt;"",N($I969)&lt;=IFERROR(INDEX('Intervals'!$E$4:$E$33,MATCH($B969,'Intervals'!$A$4:$A$33,0)),500)),AND($J969&lt;&gt;"",N($J969)&lt;=IFERROR(INDEX('Intervals'!$F$4:$F$33,MATCH($B969,'Intervals'!$A$4:$A$33,0)),14))),"Due soon","OK")))</f>
        <v/>
      </c>
      <c r="N969" s="15" t="n"/>
      <c r="O969" s="22">
        <f>IF(OR($M969="",$M969="OK"),"",$L969+ROW()/100000)</f>
        <v/>
      </c>
    </row>
    <row r="970">
      <c r="A970" s="15" t="n"/>
      <c r="B970" s="15" t="n"/>
      <c r="C970" s="16">
        <f>IF($B970="","",IFERROR(INDEX('Intervals'!$B$4:$B$33,MATCH($B970,'Intervals'!$A$4:$A$33,0)),""))</f>
        <v/>
      </c>
      <c r="D970" s="17" t="n"/>
      <c r="E970" s="18" t="n"/>
      <c r="F970" s="19">
        <f>IF(OR($B970="",$E970=""),"",IFERROR(IF(AND(INDEX('Intervals'!$G$4:$G$33,MATCH($B970,'Intervals'!$A$4:$A$33,0))&lt;&gt;"No",N(INDEX('Intervals'!$C$4:$C$33,MATCH($B970,'Intervals'!$A$4:$A$33,0)))&gt;0),$E970+N(INDEX('Intervals'!$C$4:$C$33,MATCH($B970,'Intervals'!$A$4:$A$33,0))),""),""))</f>
        <v/>
      </c>
      <c r="G970" s="20">
        <f>IF(OR($B970="",$D970=""),"",IFERROR(IF(AND(INDEX('Intervals'!$G$4:$G$33,MATCH($B970,'Intervals'!$A$4:$A$33,0))&lt;&gt;"No",N(INDEX('Intervals'!$D$4:$D$33,MATCH($B970,'Intervals'!$A$4:$A$33,0)))&gt;0),EDATE($D970,N(INDEX('Intervals'!$D$4:$D$33,MATCH($B970,'Intervals'!$A$4:$A$33,0)))),""),""))</f>
        <v/>
      </c>
      <c r="H970" s="19">
        <f>IF($A970="","",IFERROR(IF(N(INDEX('Cars'!$H$4:$H$103,MATCH($A970,'Cars'!$A$4:$A$103,0)))&gt;0,INDEX('Cars'!$H$4:$H$103,MATCH($A970,'Cars'!$A$4:$A$103,0)),""),""))</f>
        <v/>
      </c>
      <c r="I970" s="19">
        <f>IF(OR($F970="",$H970=""),"",$F970-$H970)</f>
        <v/>
      </c>
      <c r="J970" s="21">
        <f>IF($G970="","",$G970-TODAY())</f>
        <v/>
      </c>
      <c r="K970" s="21">
        <f>IF($I970="","",IFERROR(IF(N(INDEX('Cars'!$J$4:$J$103,MATCH($A970,'Cars'!$A$4:$A$103,0)))&gt;0,ROUND($I970/INDEX('Cars'!$J$4:$J$103,MATCH($A970,'Cars'!$A$4:$A$103,0))*30,0),""),""))</f>
        <v/>
      </c>
      <c r="L970" s="21">
        <f>IF(AND($J970="",$K970=""),"",MIN(IF($J970="",99999,$J970),IF($K970="",99999,$K970)))</f>
        <v/>
      </c>
      <c r="M970" s="16">
        <f>IF(AND($I970="",$J970=""),"",IF(OR(AND($I970&lt;&gt;"",N($I970)&lt;0),AND($J970&lt;&gt;"",N($J970)&lt;0)),"Overdue",IF(OR(AND($I970&lt;&gt;"",N($I970)&lt;=IFERROR(INDEX('Intervals'!$E$4:$E$33,MATCH($B970,'Intervals'!$A$4:$A$33,0)),500)),AND($J970&lt;&gt;"",N($J970)&lt;=IFERROR(INDEX('Intervals'!$F$4:$F$33,MATCH($B970,'Intervals'!$A$4:$A$33,0)),14))),"Due soon","OK")))</f>
        <v/>
      </c>
      <c r="N970" s="15" t="n"/>
      <c r="O970" s="22">
        <f>IF(OR($M970="",$M970="OK"),"",$L970+ROW()/100000)</f>
        <v/>
      </c>
    </row>
    <row r="971">
      <c r="A971" s="15" t="n"/>
      <c r="B971" s="15" t="n"/>
      <c r="C971" s="16">
        <f>IF($B971="","",IFERROR(INDEX('Intervals'!$B$4:$B$33,MATCH($B971,'Intervals'!$A$4:$A$33,0)),""))</f>
        <v/>
      </c>
      <c r="D971" s="17" t="n"/>
      <c r="E971" s="18" t="n"/>
      <c r="F971" s="19">
        <f>IF(OR($B971="",$E971=""),"",IFERROR(IF(AND(INDEX('Intervals'!$G$4:$G$33,MATCH($B971,'Intervals'!$A$4:$A$33,0))&lt;&gt;"No",N(INDEX('Intervals'!$C$4:$C$33,MATCH($B971,'Intervals'!$A$4:$A$33,0)))&gt;0),$E971+N(INDEX('Intervals'!$C$4:$C$33,MATCH($B971,'Intervals'!$A$4:$A$33,0))),""),""))</f>
        <v/>
      </c>
      <c r="G971" s="20">
        <f>IF(OR($B971="",$D971=""),"",IFERROR(IF(AND(INDEX('Intervals'!$G$4:$G$33,MATCH($B971,'Intervals'!$A$4:$A$33,0))&lt;&gt;"No",N(INDEX('Intervals'!$D$4:$D$33,MATCH($B971,'Intervals'!$A$4:$A$33,0)))&gt;0),EDATE($D971,N(INDEX('Intervals'!$D$4:$D$33,MATCH($B971,'Intervals'!$A$4:$A$33,0)))),""),""))</f>
        <v/>
      </c>
      <c r="H971" s="19">
        <f>IF($A971="","",IFERROR(IF(N(INDEX('Cars'!$H$4:$H$103,MATCH($A971,'Cars'!$A$4:$A$103,0)))&gt;0,INDEX('Cars'!$H$4:$H$103,MATCH($A971,'Cars'!$A$4:$A$103,0)),""),""))</f>
        <v/>
      </c>
      <c r="I971" s="19">
        <f>IF(OR($F971="",$H971=""),"",$F971-$H971)</f>
        <v/>
      </c>
      <c r="J971" s="21">
        <f>IF($G971="","",$G971-TODAY())</f>
        <v/>
      </c>
      <c r="K971" s="21">
        <f>IF($I971="","",IFERROR(IF(N(INDEX('Cars'!$J$4:$J$103,MATCH($A971,'Cars'!$A$4:$A$103,0)))&gt;0,ROUND($I971/INDEX('Cars'!$J$4:$J$103,MATCH($A971,'Cars'!$A$4:$A$103,0))*30,0),""),""))</f>
        <v/>
      </c>
      <c r="L971" s="21">
        <f>IF(AND($J971="",$K971=""),"",MIN(IF($J971="",99999,$J971),IF($K971="",99999,$K971)))</f>
        <v/>
      </c>
      <c r="M971" s="16">
        <f>IF(AND($I971="",$J971=""),"",IF(OR(AND($I971&lt;&gt;"",N($I971)&lt;0),AND($J971&lt;&gt;"",N($J971)&lt;0)),"Overdue",IF(OR(AND($I971&lt;&gt;"",N($I971)&lt;=IFERROR(INDEX('Intervals'!$E$4:$E$33,MATCH($B971,'Intervals'!$A$4:$A$33,0)),500)),AND($J971&lt;&gt;"",N($J971)&lt;=IFERROR(INDEX('Intervals'!$F$4:$F$33,MATCH($B971,'Intervals'!$A$4:$A$33,0)),14))),"Due soon","OK")))</f>
        <v/>
      </c>
      <c r="N971" s="15" t="n"/>
      <c r="O971" s="22">
        <f>IF(OR($M971="",$M971="OK"),"",$L971+ROW()/100000)</f>
        <v/>
      </c>
    </row>
    <row r="972">
      <c r="A972" s="15" t="n"/>
      <c r="B972" s="15" t="n"/>
      <c r="C972" s="16">
        <f>IF($B972="","",IFERROR(INDEX('Intervals'!$B$4:$B$33,MATCH($B972,'Intervals'!$A$4:$A$33,0)),""))</f>
        <v/>
      </c>
      <c r="D972" s="17" t="n"/>
      <c r="E972" s="18" t="n"/>
      <c r="F972" s="19">
        <f>IF(OR($B972="",$E972=""),"",IFERROR(IF(AND(INDEX('Intervals'!$G$4:$G$33,MATCH($B972,'Intervals'!$A$4:$A$33,0))&lt;&gt;"No",N(INDEX('Intervals'!$C$4:$C$33,MATCH($B972,'Intervals'!$A$4:$A$33,0)))&gt;0),$E972+N(INDEX('Intervals'!$C$4:$C$33,MATCH($B972,'Intervals'!$A$4:$A$33,0))),""),""))</f>
        <v/>
      </c>
      <c r="G972" s="20">
        <f>IF(OR($B972="",$D972=""),"",IFERROR(IF(AND(INDEX('Intervals'!$G$4:$G$33,MATCH($B972,'Intervals'!$A$4:$A$33,0))&lt;&gt;"No",N(INDEX('Intervals'!$D$4:$D$33,MATCH($B972,'Intervals'!$A$4:$A$33,0)))&gt;0),EDATE($D972,N(INDEX('Intervals'!$D$4:$D$33,MATCH($B972,'Intervals'!$A$4:$A$33,0)))),""),""))</f>
        <v/>
      </c>
      <c r="H972" s="19">
        <f>IF($A972="","",IFERROR(IF(N(INDEX('Cars'!$H$4:$H$103,MATCH($A972,'Cars'!$A$4:$A$103,0)))&gt;0,INDEX('Cars'!$H$4:$H$103,MATCH($A972,'Cars'!$A$4:$A$103,0)),""),""))</f>
        <v/>
      </c>
      <c r="I972" s="19">
        <f>IF(OR($F972="",$H972=""),"",$F972-$H972)</f>
        <v/>
      </c>
      <c r="J972" s="21">
        <f>IF($G972="","",$G972-TODAY())</f>
        <v/>
      </c>
      <c r="K972" s="21">
        <f>IF($I972="","",IFERROR(IF(N(INDEX('Cars'!$J$4:$J$103,MATCH($A972,'Cars'!$A$4:$A$103,0)))&gt;0,ROUND($I972/INDEX('Cars'!$J$4:$J$103,MATCH($A972,'Cars'!$A$4:$A$103,0))*30,0),""),""))</f>
        <v/>
      </c>
      <c r="L972" s="21">
        <f>IF(AND($J972="",$K972=""),"",MIN(IF($J972="",99999,$J972),IF($K972="",99999,$K972)))</f>
        <v/>
      </c>
      <c r="M972" s="16">
        <f>IF(AND($I972="",$J972=""),"",IF(OR(AND($I972&lt;&gt;"",N($I972)&lt;0),AND($J972&lt;&gt;"",N($J972)&lt;0)),"Overdue",IF(OR(AND($I972&lt;&gt;"",N($I972)&lt;=IFERROR(INDEX('Intervals'!$E$4:$E$33,MATCH($B972,'Intervals'!$A$4:$A$33,0)),500)),AND($J972&lt;&gt;"",N($J972)&lt;=IFERROR(INDEX('Intervals'!$F$4:$F$33,MATCH($B972,'Intervals'!$A$4:$A$33,0)),14))),"Due soon","OK")))</f>
        <v/>
      </c>
      <c r="N972" s="15" t="n"/>
      <c r="O972" s="22">
        <f>IF(OR($M972="",$M972="OK"),"",$L972+ROW()/100000)</f>
        <v/>
      </c>
    </row>
    <row r="973">
      <c r="A973" s="15" t="n"/>
      <c r="B973" s="15" t="n"/>
      <c r="C973" s="16">
        <f>IF($B973="","",IFERROR(INDEX('Intervals'!$B$4:$B$33,MATCH($B973,'Intervals'!$A$4:$A$33,0)),""))</f>
        <v/>
      </c>
      <c r="D973" s="17" t="n"/>
      <c r="E973" s="18" t="n"/>
      <c r="F973" s="19">
        <f>IF(OR($B973="",$E973=""),"",IFERROR(IF(AND(INDEX('Intervals'!$G$4:$G$33,MATCH($B973,'Intervals'!$A$4:$A$33,0))&lt;&gt;"No",N(INDEX('Intervals'!$C$4:$C$33,MATCH($B973,'Intervals'!$A$4:$A$33,0)))&gt;0),$E973+N(INDEX('Intervals'!$C$4:$C$33,MATCH($B973,'Intervals'!$A$4:$A$33,0))),""),""))</f>
        <v/>
      </c>
      <c r="G973" s="20">
        <f>IF(OR($B973="",$D973=""),"",IFERROR(IF(AND(INDEX('Intervals'!$G$4:$G$33,MATCH($B973,'Intervals'!$A$4:$A$33,0))&lt;&gt;"No",N(INDEX('Intervals'!$D$4:$D$33,MATCH($B973,'Intervals'!$A$4:$A$33,0)))&gt;0),EDATE($D973,N(INDEX('Intervals'!$D$4:$D$33,MATCH($B973,'Intervals'!$A$4:$A$33,0)))),""),""))</f>
        <v/>
      </c>
      <c r="H973" s="19">
        <f>IF($A973="","",IFERROR(IF(N(INDEX('Cars'!$H$4:$H$103,MATCH($A973,'Cars'!$A$4:$A$103,0)))&gt;0,INDEX('Cars'!$H$4:$H$103,MATCH($A973,'Cars'!$A$4:$A$103,0)),""),""))</f>
        <v/>
      </c>
      <c r="I973" s="19">
        <f>IF(OR($F973="",$H973=""),"",$F973-$H973)</f>
        <v/>
      </c>
      <c r="J973" s="21">
        <f>IF($G973="","",$G973-TODAY())</f>
        <v/>
      </c>
      <c r="K973" s="21">
        <f>IF($I973="","",IFERROR(IF(N(INDEX('Cars'!$J$4:$J$103,MATCH($A973,'Cars'!$A$4:$A$103,0)))&gt;0,ROUND($I973/INDEX('Cars'!$J$4:$J$103,MATCH($A973,'Cars'!$A$4:$A$103,0))*30,0),""),""))</f>
        <v/>
      </c>
      <c r="L973" s="21">
        <f>IF(AND($J973="",$K973=""),"",MIN(IF($J973="",99999,$J973),IF($K973="",99999,$K973)))</f>
        <v/>
      </c>
      <c r="M973" s="16">
        <f>IF(AND($I973="",$J973=""),"",IF(OR(AND($I973&lt;&gt;"",N($I973)&lt;0),AND($J973&lt;&gt;"",N($J973)&lt;0)),"Overdue",IF(OR(AND($I973&lt;&gt;"",N($I973)&lt;=IFERROR(INDEX('Intervals'!$E$4:$E$33,MATCH($B973,'Intervals'!$A$4:$A$33,0)),500)),AND($J973&lt;&gt;"",N($J973)&lt;=IFERROR(INDEX('Intervals'!$F$4:$F$33,MATCH($B973,'Intervals'!$A$4:$A$33,0)),14))),"Due soon","OK")))</f>
        <v/>
      </c>
      <c r="N973" s="15" t="n"/>
      <c r="O973" s="22">
        <f>IF(OR($M973="",$M973="OK"),"",$L973+ROW()/100000)</f>
        <v/>
      </c>
    </row>
    <row r="974">
      <c r="A974" s="15" t="n"/>
      <c r="B974" s="15" t="n"/>
      <c r="C974" s="16">
        <f>IF($B974="","",IFERROR(INDEX('Intervals'!$B$4:$B$33,MATCH($B974,'Intervals'!$A$4:$A$33,0)),""))</f>
        <v/>
      </c>
      <c r="D974" s="17" t="n"/>
      <c r="E974" s="18" t="n"/>
      <c r="F974" s="19">
        <f>IF(OR($B974="",$E974=""),"",IFERROR(IF(AND(INDEX('Intervals'!$G$4:$G$33,MATCH($B974,'Intervals'!$A$4:$A$33,0))&lt;&gt;"No",N(INDEX('Intervals'!$C$4:$C$33,MATCH($B974,'Intervals'!$A$4:$A$33,0)))&gt;0),$E974+N(INDEX('Intervals'!$C$4:$C$33,MATCH($B974,'Intervals'!$A$4:$A$33,0))),""),""))</f>
        <v/>
      </c>
      <c r="G974" s="20">
        <f>IF(OR($B974="",$D974=""),"",IFERROR(IF(AND(INDEX('Intervals'!$G$4:$G$33,MATCH($B974,'Intervals'!$A$4:$A$33,0))&lt;&gt;"No",N(INDEX('Intervals'!$D$4:$D$33,MATCH($B974,'Intervals'!$A$4:$A$33,0)))&gt;0),EDATE($D974,N(INDEX('Intervals'!$D$4:$D$33,MATCH($B974,'Intervals'!$A$4:$A$33,0)))),""),""))</f>
        <v/>
      </c>
      <c r="H974" s="19">
        <f>IF($A974="","",IFERROR(IF(N(INDEX('Cars'!$H$4:$H$103,MATCH($A974,'Cars'!$A$4:$A$103,0)))&gt;0,INDEX('Cars'!$H$4:$H$103,MATCH($A974,'Cars'!$A$4:$A$103,0)),""),""))</f>
        <v/>
      </c>
      <c r="I974" s="19">
        <f>IF(OR($F974="",$H974=""),"",$F974-$H974)</f>
        <v/>
      </c>
      <c r="J974" s="21">
        <f>IF($G974="","",$G974-TODAY())</f>
        <v/>
      </c>
      <c r="K974" s="21">
        <f>IF($I974="","",IFERROR(IF(N(INDEX('Cars'!$J$4:$J$103,MATCH($A974,'Cars'!$A$4:$A$103,0)))&gt;0,ROUND($I974/INDEX('Cars'!$J$4:$J$103,MATCH($A974,'Cars'!$A$4:$A$103,0))*30,0),""),""))</f>
        <v/>
      </c>
      <c r="L974" s="21">
        <f>IF(AND($J974="",$K974=""),"",MIN(IF($J974="",99999,$J974),IF($K974="",99999,$K974)))</f>
        <v/>
      </c>
      <c r="M974" s="16">
        <f>IF(AND($I974="",$J974=""),"",IF(OR(AND($I974&lt;&gt;"",N($I974)&lt;0),AND($J974&lt;&gt;"",N($J974)&lt;0)),"Overdue",IF(OR(AND($I974&lt;&gt;"",N($I974)&lt;=IFERROR(INDEX('Intervals'!$E$4:$E$33,MATCH($B974,'Intervals'!$A$4:$A$33,0)),500)),AND($J974&lt;&gt;"",N($J974)&lt;=IFERROR(INDEX('Intervals'!$F$4:$F$33,MATCH($B974,'Intervals'!$A$4:$A$33,0)),14))),"Due soon","OK")))</f>
        <v/>
      </c>
      <c r="N974" s="15" t="n"/>
      <c r="O974" s="22">
        <f>IF(OR($M974="",$M974="OK"),"",$L974+ROW()/100000)</f>
        <v/>
      </c>
    </row>
    <row r="975">
      <c r="A975" s="15" t="n"/>
      <c r="B975" s="15" t="n"/>
      <c r="C975" s="16">
        <f>IF($B975="","",IFERROR(INDEX('Intervals'!$B$4:$B$33,MATCH($B975,'Intervals'!$A$4:$A$33,0)),""))</f>
        <v/>
      </c>
      <c r="D975" s="17" t="n"/>
      <c r="E975" s="18" t="n"/>
      <c r="F975" s="19">
        <f>IF(OR($B975="",$E975=""),"",IFERROR(IF(AND(INDEX('Intervals'!$G$4:$G$33,MATCH($B975,'Intervals'!$A$4:$A$33,0))&lt;&gt;"No",N(INDEX('Intervals'!$C$4:$C$33,MATCH($B975,'Intervals'!$A$4:$A$33,0)))&gt;0),$E975+N(INDEX('Intervals'!$C$4:$C$33,MATCH($B975,'Intervals'!$A$4:$A$33,0))),""),""))</f>
        <v/>
      </c>
      <c r="G975" s="20">
        <f>IF(OR($B975="",$D975=""),"",IFERROR(IF(AND(INDEX('Intervals'!$G$4:$G$33,MATCH($B975,'Intervals'!$A$4:$A$33,0))&lt;&gt;"No",N(INDEX('Intervals'!$D$4:$D$33,MATCH($B975,'Intervals'!$A$4:$A$33,0)))&gt;0),EDATE($D975,N(INDEX('Intervals'!$D$4:$D$33,MATCH($B975,'Intervals'!$A$4:$A$33,0)))),""),""))</f>
        <v/>
      </c>
      <c r="H975" s="19">
        <f>IF($A975="","",IFERROR(IF(N(INDEX('Cars'!$H$4:$H$103,MATCH($A975,'Cars'!$A$4:$A$103,0)))&gt;0,INDEX('Cars'!$H$4:$H$103,MATCH($A975,'Cars'!$A$4:$A$103,0)),""),""))</f>
        <v/>
      </c>
      <c r="I975" s="19">
        <f>IF(OR($F975="",$H975=""),"",$F975-$H975)</f>
        <v/>
      </c>
      <c r="J975" s="21">
        <f>IF($G975="","",$G975-TODAY())</f>
        <v/>
      </c>
      <c r="K975" s="21">
        <f>IF($I975="","",IFERROR(IF(N(INDEX('Cars'!$J$4:$J$103,MATCH($A975,'Cars'!$A$4:$A$103,0)))&gt;0,ROUND($I975/INDEX('Cars'!$J$4:$J$103,MATCH($A975,'Cars'!$A$4:$A$103,0))*30,0),""),""))</f>
        <v/>
      </c>
      <c r="L975" s="21">
        <f>IF(AND($J975="",$K975=""),"",MIN(IF($J975="",99999,$J975),IF($K975="",99999,$K975)))</f>
        <v/>
      </c>
      <c r="M975" s="16">
        <f>IF(AND($I975="",$J975=""),"",IF(OR(AND($I975&lt;&gt;"",N($I975)&lt;0),AND($J975&lt;&gt;"",N($J975)&lt;0)),"Overdue",IF(OR(AND($I975&lt;&gt;"",N($I975)&lt;=IFERROR(INDEX('Intervals'!$E$4:$E$33,MATCH($B975,'Intervals'!$A$4:$A$33,0)),500)),AND($J975&lt;&gt;"",N($J975)&lt;=IFERROR(INDEX('Intervals'!$F$4:$F$33,MATCH($B975,'Intervals'!$A$4:$A$33,0)),14))),"Due soon","OK")))</f>
        <v/>
      </c>
      <c r="N975" s="15" t="n"/>
      <c r="O975" s="22">
        <f>IF(OR($M975="",$M975="OK"),"",$L975+ROW()/100000)</f>
        <v/>
      </c>
    </row>
    <row r="976">
      <c r="A976" s="15" t="n"/>
      <c r="B976" s="15" t="n"/>
      <c r="C976" s="16">
        <f>IF($B976="","",IFERROR(INDEX('Intervals'!$B$4:$B$33,MATCH($B976,'Intervals'!$A$4:$A$33,0)),""))</f>
        <v/>
      </c>
      <c r="D976" s="17" t="n"/>
      <c r="E976" s="18" t="n"/>
      <c r="F976" s="19">
        <f>IF(OR($B976="",$E976=""),"",IFERROR(IF(AND(INDEX('Intervals'!$G$4:$G$33,MATCH($B976,'Intervals'!$A$4:$A$33,0))&lt;&gt;"No",N(INDEX('Intervals'!$C$4:$C$33,MATCH($B976,'Intervals'!$A$4:$A$33,0)))&gt;0),$E976+N(INDEX('Intervals'!$C$4:$C$33,MATCH($B976,'Intervals'!$A$4:$A$33,0))),""),""))</f>
        <v/>
      </c>
      <c r="G976" s="20">
        <f>IF(OR($B976="",$D976=""),"",IFERROR(IF(AND(INDEX('Intervals'!$G$4:$G$33,MATCH($B976,'Intervals'!$A$4:$A$33,0))&lt;&gt;"No",N(INDEX('Intervals'!$D$4:$D$33,MATCH($B976,'Intervals'!$A$4:$A$33,0)))&gt;0),EDATE($D976,N(INDEX('Intervals'!$D$4:$D$33,MATCH($B976,'Intervals'!$A$4:$A$33,0)))),""),""))</f>
        <v/>
      </c>
      <c r="H976" s="19">
        <f>IF($A976="","",IFERROR(IF(N(INDEX('Cars'!$H$4:$H$103,MATCH($A976,'Cars'!$A$4:$A$103,0)))&gt;0,INDEX('Cars'!$H$4:$H$103,MATCH($A976,'Cars'!$A$4:$A$103,0)),""),""))</f>
        <v/>
      </c>
      <c r="I976" s="19">
        <f>IF(OR($F976="",$H976=""),"",$F976-$H976)</f>
        <v/>
      </c>
      <c r="J976" s="21">
        <f>IF($G976="","",$G976-TODAY())</f>
        <v/>
      </c>
      <c r="K976" s="21">
        <f>IF($I976="","",IFERROR(IF(N(INDEX('Cars'!$J$4:$J$103,MATCH($A976,'Cars'!$A$4:$A$103,0)))&gt;0,ROUND($I976/INDEX('Cars'!$J$4:$J$103,MATCH($A976,'Cars'!$A$4:$A$103,0))*30,0),""),""))</f>
        <v/>
      </c>
      <c r="L976" s="21">
        <f>IF(AND($J976="",$K976=""),"",MIN(IF($J976="",99999,$J976),IF($K976="",99999,$K976)))</f>
        <v/>
      </c>
      <c r="M976" s="16">
        <f>IF(AND($I976="",$J976=""),"",IF(OR(AND($I976&lt;&gt;"",N($I976)&lt;0),AND($J976&lt;&gt;"",N($J976)&lt;0)),"Overdue",IF(OR(AND($I976&lt;&gt;"",N($I976)&lt;=IFERROR(INDEX('Intervals'!$E$4:$E$33,MATCH($B976,'Intervals'!$A$4:$A$33,0)),500)),AND($J976&lt;&gt;"",N($J976)&lt;=IFERROR(INDEX('Intervals'!$F$4:$F$33,MATCH($B976,'Intervals'!$A$4:$A$33,0)),14))),"Due soon","OK")))</f>
        <v/>
      </c>
      <c r="N976" s="15" t="n"/>
      <c r="O976" s="22">
        <f>IF(OR($M976="",$M976="OK"),"",$L976+ROW()/100000)</f>
        <v/>
      </c>
    </row>
    <row r="977">
      <c r="A977" s="15" t="n"/>
      <c r="B977" s="15" t="n"/>
      <c r="C977" s="16">
        <f>IF($B977="","",IFERROR(INDEX('Intervals'!$B$4:$B$33,MATCH($B977,'Intervals'!$A$4:$A$33,0)),""))</f>
        <v/>
      </c>
      <c r="D977" s="17" t="n"/>
      <c r="E977" s="18" t="n"/>
      <c r="F977" s="19">
        <f>IF(OR($B977="",$E977=""),"",IFERROR(IF(AND(INDEX('Intervals'!$G$4:$G$33,MATCH($B977,'Intervals'!$A$4:$A$33,0))&lt;&gt;"No",N(INDEX('Intervals'!$C$4:$C$33,MATCH($B977,'Intervals'!$A$4:$A$33,0)))&gt;0),$E977+N(INDEX('Intervals'!$C$4:$C$33,MATCH($B977,'Intervals'!$A$4:$A$33,0))),""),""))</f>
        <v/>
      </c>
      <c r="G977" s="20">
        <f>IF(OR($B977="",$D977=""),"",IFERROR(IF(AND(INDEX('Intervals'!$G$4:$G$33,MATCH($B977,'Intervals'!$A$4:$A$33,0))&lt;&gt;"No",N(INDEX('Intervals'!$D$4:$D$33,MATCH($B977,'Intervals'!$A$4:$A$33,0)))&gt;0),EDATE($D977,N(INDEX('Intervals'!$D$4:$D$33,MATCH($B977,'Intervals'!$A$4:$A$33,0)))),""),""))</f>
        <v/>
      </c>
      <c r="H977" s="19">
        <f>IF($A977="","",IFERROR(IF(N(INDEX('Cars'!$H$4:$H$103,MATCH($A977,'Cars'!$A$4:$A$103,0)))&gt;0,INDEX('Cars'!$H$4:$H$103,MATCH($A977,'Cars'!$A$4:$A$103,0)),""),""))</f>
        <v/>
      </c>
      <c r="I977" s="19">
        <f>IF(OR($F977="",$H977=""),"",$F977-$H977)</f>
        <v/>
      </c>
      <c r="J977" s="21">
        <f>IF($G977="","",$G977-TODAY())</f>
        <v/>
      </c>
      <c r="K977" s="21">
        <f>IF($I977="","",IFERROR(IF(N(INDEX('Cars'!$J$4:$J$103,MATCH($A977,'Cars'!$A$4:$A$103,0)))&gt;0,ROUND($I977/INDEX('Cars'!$J$4:$J$103,MATCH($A977,'Cars'!$A$4:$A$103,0))*30,0),""),""))</f>
        <v/>
      </c>
      <c r="L977" s="21">
        <f>IF(AND($J977="",$K977=""),"",MIN(IF($J977="",99999,$J977),IF($K977="",99999,$K977)))</f>
        <v/>
      </c>
      <c r="M977" s="16">
        <f>IF(AND($I977="",$J977=""),"",IF(OR(AND($I977&lt;&gt;"",N($I977)&lt;0),AND($J977&lt;&gt;"",N($J977)&lt;0)),"Overdue",IF(OR(AND($I977&lt;&gt;"",N($I977)&lt;=IFERROR(INDEX('Intervals'!$E$4:$E$33,MATCH($B977,'Intervals'!$A$4:$A$33,0)),500)),AND($J977&lt;&gt;"",N($J977)&lt;=IFERROR(INDEX('Intervals'!$F$4:$F$33,MATCH($B977,'Intervals'!$A$4:$A$33,0)),14))),"Due soon","OK")))</f>
        <v/>
      </c>
      <c r="N977" s="15" t="n"/>
      <c r="O977" s="22">
        <f>IF(OR($M977="",$M977="OK"),"",$L977+ROW()/100000)</f>
        <v/>
      </c>
    </row>
    <row r="978">
      <c r="A978" s="15" t="n"/>
      <c r="B978" s="15" t="n"/>
      <c r="C978" s="16">
        <f>IF($B978="","",IFERROR(INDEX('Intervals'!$B$4:$B$33,MATCH($B978,'Intervals'!$A$4:$A$33,0)),""))</f>
        <v/>
      </c>
      <c r="D978" s="17" t="n"/>
      <c r="E978" s="18" t="n"/>
      <c r="F978" s="19">
        <f>IF(OR($B978="",$E978=""),"",IFERROR(IF(AND(INDEX('Intervals'!$G$4:$G$33,MATCH($B978,'Intervals'!$A$4:$A$33,0))&lt;&gt;"No",N(INDEX('Intervals'!$C$4:$C$33,MATCH($B978,'Intervals'!$A$4:$A$33,0)))&gt;0),$E978+N(INDEX('Intervals'!$C$4:$C$33,MATCH($B978,'Intervals'!$A$4:$A$33,0))),""),""))</f>
        <v/>
      </c>
      <c r="G978" s="20">
        <f>IF(OR($B978="",$D978=""),"",IFERROR(IF(AND(INDEX('Intervals'!$G$4:$G$33,MATCH($B978,'Intervals'!$A$4:$A$33,0))&lt;&gt;"No",N(INDEX('Intervals'!$D$4:$D$33,MATCH($B978,'Intervals'!$A$4:$A$33,0)))&gt;0),EDATE($D978,N(INDEX('Intervals'!$D$4:$D$33,MATCH($B978,'Intervals'!$A$4:$A$33,0)))),""),""))</f>
        <v/>
      </c>
      <c r="H978" s="19">
        <f>IF($A978="","",IFERROR(IF(N(INDEX('Cars'!$H$4:$H$103,MATCH($A978,'Cars'!$A$4:$A$103,0)))&gt;0,INDEX('Cars'!$H$4:$H$103,MATCH($A978,'Cars'!$A$4:$A$103,0)),""),""))</f>
        <v/>
      </c>
      <c r="I978" s="19">
        <f>IF(OR($F978="",$H978=""),"",$F978-$H978)</f>
        <v/>
      </c>
      <c r="J978" s="21">
        <f>IF($G978="","",$G978-TODAY())</f>
        <v/>
      </c>
      <c r="K978" s="21">
        <f>IF($I978="","",IFERROR(IF(N(INDEX('Cars'!$J$4:$J$103,MATCH($A978,'Cars'!$A$4:$A$103,0)))&gt;0,ROUND($I978/INDEX('Cars'!$J$4:$J$103,MATCH($A978,'Cars'!$A$4:$A$103,0))*30,0),""),""))</f>
        <v/>
      </c>
      <c r="L978" s="21">
        <f>IF(AND($J978="",$K978=""),"",MIN(IF($J978="",99999,$J978),IF($K978="",99999,$K978)))</f>
        <v/>
      </c>
      <c r="M978" s="16">
        <f>IF(AND($I978="",$J978=""),"",IF(OR(AND($I978&lt;&gt;"",N($I978)&lt;0),AND($J978&lt;&gt;"",N($J978)&lt;0)),"Overdue",IF(OR(AND($I978&lt;&gt;"",N($I978)&lt;=IFERROR(INDEX('Intervals'!$E$4:$E$33,MATCH($B978,'Intervals'!$A$4:$A$33,0)),500)),AND($J978&lt;&gt;"",N($J978)&lt;=IFERROR(INDEX('Intervals'!$F$4:$F$33,MATCH($B978,'Intervals'!$A$4:$A$33,0)),14))),"Due soon","OK")))</f>
        <v/>
      </c>
      <c r="N978" s="15" t="n"/>
      <c r="O978" s="22">
        <f>IF(OR($M978="",$M978="OK"),"",$L978+ROW()/100000)</f>
        <v/>
      </c>
    </row>
    <row r="979">
      <c r="A979" s="15" t="n"/>
      <c r="B979" s="15" t="n"/>
      <c r="C979" s="16">
        <f>IF($B979="","",IFERROR(INDEX('Intervals'!$B$4:$B$33,MATCH($B979,'Intervals'!$A$4:$A$33,0)),""))</f>
        <v/>
      </c>
      <c r="D979" s="17" t="n"/>
      <c r="E979" s="18" t="n"/>
      <c r="F979" s="19">
        <f>IF(OR($B979="",$E979=""),"",IFERROR(IF(AND(INDEX('Intervals'!$G$4:$G$33,MATCH($B979,'Intervals'!$A$4:$A$33,0))&lt;&gt;"No",N(INDEX('Intervals'!$C$4:$C$33,MATCH($B979,'Intervals'!$A$4:$A$33,0)))&gt;0),$E979+N(INDEX('Intervals'!$C$4:$C$33,MATCH($B979,'Intervals'!$A$4:$A$33,0))),""),""))</f>
        <v/>
      </c>
      <c r="G979" s="20">
        <f>IF(OR($B979="",$D979=""),"",IFERROR(IF(AND(INDEX('Intervals'!$G$4:$G$33,MATCH($B979,'Intervals'!$A$4:$A$33,0))&lt;&gt;"No",N(INDEX('Intervals'!$D$4:$D$33,MATCH($B979,'Intervals'!$A$4:$A$33,0)))&gt;0),EDATE($D979,N(INDEX('Intervals'!$D$4:$D$33,MATCH($B979,'Intervals'!$A$4:$A$33,0)))),""),""))</f>
        <v/>
      </c>
      <c r="H979" s="19">
        <f>IF($A979="","",IFERROR(IF(N(INDEX('Cars'!$H$4:$H$103,MATCH($A979,'Cars'!$A$4:$A$103,0)))&gt;0,INDEX('Cars'!$H$4:$H$103,MATCH($A979,'Cars'!$A$4:$A$103,0)),""),""))</f>
        <v/>
      </c>
      <c r="I979" s="19">
        <f>IF(OR($F979="",$H979=""),"",$F979-$H979)</f>
        <v/>
      </c>
      <c r="J979" s="21">
        <f>IF($G979="","",$G979-TODAY())</f>
        <v/>
      </c>
      <c r="K979" s="21">
        <f>IF($I979="","",IFERROR(IF(N(INDEX('Cars'!$J$4:$J$103,MATCH($A979,'Cars'!$A$4:$A$103,0)))&gt;0,ROUND($I979/INDEX('Cars'!$J$4:$J$103,MATCH($A979,'Cars'!$A$4:$A$103,0))*30,0),""),""))</f>
        <v/>
      </c>
      <c r="L979" s="21">
        <f>IF(AND($J979="",$K979=""),"",MIN(IF($J979="",99999,$J979),IF($K979="",99999,$K979)))</f>
        <v/>
      </c>
      <c r="M979" s="16">
        <f>IF(AND($I979="",$J979=""),"",IF(OR(AND($I979&lt;&gt;"",N($I979)&lt;0),AND($J979&lt;&gt;"",N($J979)&lt;0)),"Overdue",IF(OR(AND($I979&lt;&gt;"",N($I979)&lt;=IFERROR(INDEX('Intervals'!$E$4:$E$33,MATCH($B979,'Intervals'!$A$4:$A$33,0)),500)),AND($J979&lt;&gt;"",N($J979)&lt;=IFERROR(INDEX('Intervals'!$F$4:$F$33,MATCH($B979,'Intervals'!$A$4:$A$33,0)),14))),"Due soon","OK")))</f>
        <v/>
      </c>
      <c r="N979" s="15" t="n"/>
      <c r="O979" s="22">
        <f>IF(OR($M979="",$M979="OK"),"",$L979+ROW()/100000)</f>
        <v/>
      </c>
    </row>
    <row r="980">
      <c r="A980" s="15" t="n"/>
      <c r="B980" s="15" t="n"/>
      <c r="C980" s="16">
        <f>IF($B980="","",IFERROR(INDEX('Intervals'!$B$4:$B$33,MATCH($B980,'Intervals'!$A$4:$A$33,0)),""))</f>
        <v/>
      </c>
      <c r="D980" s="17" t="n"/>
      <c r="E980" s="18" t="n"/>
      <c r="F980" s="19">
        <f>IF(OR($B980="",$E980=""),"",IFERROR(IF(AND(INDEX('Intervals'!$G$4:$G$33,MATCH($B980,'Intervals'!$A$4:$A$33,0))&lt;&gt;"No",N(INDEX('Intervals'!$C$4:$C$33,MATCH($B980,'Intervals'!$A$4:$A$33,0)))&gt;0),$E980+N(INDEX('Intervals'!$C$4:$C$33,MATCH($B980,'Intervals'!$A$4:$A$33,0))),""),""))</f>
        <v/>
      </c>
      <c r="G980" s="20">
        <f>IF(OR($B980="",$D980=""),"",IFERROR(IF(AND(INDEX('Intervals'!$G$4:$G$33,MATCH($B980,'Intervals'!$A$4:$A$33,0))&lt;&gt;"No",N(INDEX('Intervals'!$D$4:$D$33,MATCH($B980,'Intervals'!$A$4:$A$33,0)))&gt;0),EDATE($D980,N(INDEX('Intervals'!$D$4:$D$33,MATCH($B980,'Intervals'!$A$4:$A$33,0)))),""),""))</f>
        <v/>
      </c>
      <c r="H980" s="19">
        <f>IF($A980="","",IFERROR(IF(N(INDEX('Cars'!$H$4:$H$103,MATCH($A980,'Cars'!$A$4:$A$103,0)))&gt;0,INDEX('Cars'!$H$4:$H$103,MATCH($A980,'Cars'!$A$4:$A$103,0)),""),""))</f>
        <v/>
      </c>
      <c r="I980" s="19">
        <f>IF(OR($F980="",$H980=""),"",$F980-$H980)</f>
        <v/>
      </c>
      <c r="J980" s="21">
        <f>IF($G980="","",$G980-TODAY())</f>
        <v/>
      </c>
      <c r="K980" s="21">
        <f>IF($I980="","",IFERROR(IF(N(INDEX('Cars'!$J$4:$J$103,MATCH($A980,'Cars'!$A$4:$A$103,0)))&gt;0,ROUND($I980/INDEX('Cars'!$J$4:$J$103,MATCH($A980,'Cars'!$A$4:$A$103,0))*30,0),""),""))</f>
        <v/>
      </c>
      <c r="L980" s="21">
        <f>IF(AND($J980="",$K980=""),"",MIN(IF($J980="",99999,$J980),IF($K980="",99999,$K980)))</f>
        <v/>
      </c>
      <c r="M980" s="16">
        <f>IF(AND($I980="",$J980=""),"",IF(OR(AND($I980&lt;&gt;"",N($I980)&lt;0),AND($J980&lt;&gt;"",N($J980)&lt;0)),"Overdue",IF(OR(AND($I980&lt;&gt;"",N($I980)&lt;=IFERROR(INDEX('Intervals'!$E$4:$E$33,MATCH($B980,'Intervals'!$A$4:$A$33,0)),500)),AND($J980&lt;&gt;"",N($J980)&lt;=IFERROR(INDEX('Intervals'!$F$4:$F$33,MATCH($B980,'Intervals'!$A$4:$A$33,0)),14))),"Due soon","OK")))</f>
        <v/>
      </c>
      <c r="N980" s="15" t="n"/>
      <c r="O980" s="22">
        <f>IF(OR($M980="",$M980="OK"),"",$L980+ROW()/100000)</f>
        <v/>
      </c>
    </row>
    <row r="981">
      <c r="A981" s="15" t="n"/>
      <c r="B981" s="15" t="n"/>
      <c r="C981" s="16">
        <f>IF($B981="","",IFERROR(INDEX('Intervals'!$B$4:$B$33,MATCH($B981,'Intervals'!$A$4:$A$33,0)),""))</f>
        <v/>
      </c>
      <c r="D981" s="17" t="n"/>
      <c r="E981" s="18" t="n"/>
      <c r="F981" s="19">
        <f>IF(OR($B981="",$E981=""),"",IFERROR(IF(AND(INDEX('Intervals'!$G$4:$G$33,MATCH($B981,'Intervals'!$A$4:$A$33,0))&lt;&gt;"No",N(INDEX('Intervals'!$C$4:$C$33,MATCH($B981,'Intervals'!$A$4:$A$33,0)))&gt;0),$E981+N(INDEX('Intervals'!$C$4:$C$33,MATCH($B981,'Intervals'!$A$4:$A$33,0))),""),""))</f>
        <v/>
      </c>
      <c r="G981" s="20">
        <f>IF(OR($B981="",$D981=""),"",IFERROR(IF(AND(INDEX('Intervals'!$G$4:$G$33,MATCH($B981,'Intervals'!$A$4:$A$33,0))&lt;&gt;"No",N(INDEX('Intervals'!$D$4:$D$33,MATCH($B981,'Intervals'!$A$4:$A$33,0)))&gt;0),EDATE($D981,N(INDEX('Intervals'!$D$4:$D$33,MATCH($B981,'Intervals'!$A$4:$A$33,0)))),""),""))</f>
        <v/>
      </c>
      <c r="H981" s="19">
        <f>IF($A981="","",IFERROR(IF(N(INDEX('Cars'!$H$4:$H$103,MATCH($A981,'Cars'!$A$4:$A$103,0)))&gt;0,INDEX('Cars'!$H$4:$H$103,MATCH($A981,'Cars'!$A$4:$A$103,0)),""),""))</f>
        <v/>
      </c>
      <c r="I981" s="19">
        <f>IF(OR($F981="",$H981=""),"",$F981-$H981)</f>
        <v/>
      </c>
      <c r="J981" s="21">
        <f>IF($G981="","",$G981-TODAY())</f>
        <v/>
      </c>
      <c r="K981" s="21">
        <f>IF($I981="","",IFERROR(IF(N(INDEX('Cars'!$J$4:$J$103,MATCH($A981,'Cars'!$A$4:$A$103,0)))&gt;0,ROUND($I981/INDEX('Cars'!$J$4:$J$103,MATCH($A981,'Cars'!$A$4:$A$103,0))*30,0),""),""))</f>
        <v/>
      </c>
      <c r="L981" s="21">
        <f>IF(AND($J981="",$K981=""),"",MIN(IF($J981="",99999,$J981),IF($K981="",99999,$K981)))</f>
        <v/>
      </c>
      <c r="M981" s="16">
        <f>IF(AND($I981="",$J981=""),"",IF(OR(AND($I981&lt;&gt;"",N($I981)&lt;0),AND($J981&lt;&gt;"",N($J981)&lt;0)),"Overdue",IF(OR(AND($I981&lt;&gt;"",N($I981)&lt;=IFERROR(INDEX('Intervals'!$E$4:$E$33,MATCH($B981,'Intervals'!$A$4:$A$33,0)),500)),AND($J981&lt;&gt;"",N($J981)&lt;=IFERROR(INDEX('Intervals'!$F$4:$F$33,MATCH($B981,'Intervals'!$A$4:$A$33,0)),14))),"Due soon","OK")))</f>
        <v/>
      </c>
      <c r="N981" s="15" t="n"/>
      <c r="O981" s="22">
        <f>IF(OR($M981="",$M981="OK"),"",$L981+ROW()/100000)</f>
        <v/>
      </c>
    </row>
    <row r="982">
      <c r="A982" s="15" t="n"/>
      <c r="B982" s="15" t="n"/>
      <c r="C982" s="16">
        <f>IF($B982="","",IFERROR(INDEX('Intervals'!$B$4:$B$33,MATCH($B982,'Intervals'!$A$4:$A$33,0)),""))</f>
        <v/>
      </c>
      <c r="D982" s="17" t="n"/>
      <c r="E982" s="18" t="n"/>
      <c r="F982" s="19">
        <f>IF(OR($B982="",$E982=""),"",IFERROR(IF(AND(INDEX('Intervals'!$G$4:$G$33,MATCH($B982,'Intervals'!$A$4:$A$33,0))&lt;&gt;"No",N(INDEX('Intervals'!$C$4:$C$33,MATCH($B982,'Intervals'!$A$4:$A$33,0)))&gt;0),$E982+N(INDEX('Intervals'!$C$4:$C$33,MATCH($B982,'Intervals'!$A$4:$A$33,0))),""),""))</f>
        <v/>
      </c>
      <c r="G982" s="20">
        <f>IF(OR($B982="",$D982=""),"",IFERROR(IF(AND(INDEX('Intervals'!$G$4:$G$33,MATCH($B982,'Intervals'!$A$4:$A$33,0))&lt;&gt;"No",N(INDEX('Intervals'!$D$4:$D$33,MATCH($B982,'Intervals'!$A$4:$A$33,0)))&gt;0),EDATE($D982,N(INDEX('Intervals'!$D$4:$D$33,MATCH($B982,'Intervals'!$A$4:$A$33,0)))),""),""))</f>
        <v/>
      </c>
      <c r="H982" s="19">
        <f>IF($A982="","",IFERROR(IF(N(INDEX('Cars'!$H$4:$H$103,MATCH($A982,'Cars'!$A$4:$A$103,0)))&gt;0,INDEX('Cars'!$H$4:$H$103,MATCH($A982,'Cars'!$A$4:$A$103,0)),""),""))</f>
        <v/>
      </c>
      <c r="I982" s="19">
        <f>IF(OR($F982="",$H982=""),"",$F982-$H982)</f>
        <v/>
      </c>
      <c r="J982" s="21">
        <f>IF($G982="","",$G982-TODAY())</f>
        <v/>
      </c>
      <c r="K982" s="21">
        <f>IF($I982="","",IFERROR(IF(N(INDEX('Cars'!$J$4:$J$103,MATCH($A982,'Cars'!$A$4:$A$103,0)))&gt;0,ROUND($I982/INDEX('Cars'!$J$4:$J$103,MATCH($A982,'Cars'!$A$4:$A$103,0))*30,0),""),""))</f>
        <v/>
      </c>
      <c r="L982" s="21">
        <f>IF(AND($J982="",$K982=""),"",MIN(IF($J982="",99999,$J982),IF($K982="",99999,$K982)))</f>
        <v/>
      </c>
      <c r="M982" s="16">
        <f>IF(AND($I982="",$J982=""),"",IF(OR(AND($I982&lt;&gt;"",N($I982)&lt;0),AND($J982&lt;&gt;"",N($J982)&lt;0)),"Overdue",IF(OR(AND($I982&lt;&gt;"",N($I982)&lt;=IFERROR(INDEX('Intervals'!$E$4:$E$33,MATCH($B982,'Intervals'!$A$4:$A$33,0)),500)),AND($J982&lt;&gt;"",N($J982)&lt;=IFERROR(INDEX('Intervals'!$F$4:$F$33,MATCH($B982,'Intervals'!$A$4:$A$33,0)),14))),"Due soon","OK")))</f>
        <v/>
      </c>
      <c r="N982" s="15" t="n"/>
      <c r="O982" s="22">
        <f>IF(OR($M982="",$M982="OK"),"",$L982+ROW()/100000)</f>
        <v/>
      </c>
    </row>
    <row r="983">
      <c r="A983" s="15" t="n"/>
      <c r="B983" s="15" t="n"/>
      <c r="C983" s="16">
        <f>IF($B983="","",IFERROR(INDEX('Intervals'!$B$4:$B$33,MATCH($B983,'Intervals'!$A$4:$A$33,0)),""))</f>
        <v/>
      </c>
      <c r="D983" s="17" t="n"/>
      <c r="E983" s="18" t="n"/>
      <c r="F983" s="19">
        <f>IF(OR($B983="",$E983=""),"",IFERROR(IF(AND(INDEX('Intervals'!$G$4:$G$33,MATCH($B983,'Intervals'!$A$4:$A$33,0))&lt;&gt;"No",N(INDEX('Intervals'!$C$4:$C$33,MATCH($B983,'Intervals'!$A$4:$A$33,0)))&gt;0),$E983+N(INDEX('Intervals'!$C$4:$C$33,MATCH($B983,'Intervals'!$A$4:$A$33,0))),""),""))</f>
        <v/>
      </c>
      <c r="G983" s="20">
        <f>IF(OR($B983="",$D983=""),"",IFERROR(IF(AND(INDEX('Intervals'!$G$4:$G$33,MATCH($B983,'Intervals'!$A$4:$A$33,0))&lt;&gt;"No",N(INDEX('Intervals'!$D$4:$D$33,MATCH($B983,'Intervals'!$A$4:$A$33,0)))&gt;0),EDATE($D983,N(INDEX('Intervals'!$D$4:$D$33,MATCH($B983,'Intervals'!$A$4:$A$33,0)))),""),""))</f>
        <v/>
      </c>
      <c r="H983" s="19">
        <f>IF($A983="","",IFERROR(IF(N(INDEX('Cars'!$H$4:$H$103,MATCH($A983,'Cars'!$A$4:$A$103,0)))&gt;0,INDEX('Cars'!$H$4:$H$103,MATCH($A983,'Cars'!$A$4:$A$103,0)),""),""))</f>
        <v/>
      </c>
      <c r="I983" s="19">
        <f>IF(OR($F983="",$H983=""),"",$F983-$H983)</f>
        <v/>
      </c>
      <c r="J983" s="21">
        <f>IF($G983="","",$G983-TODAY())</f>
        <v/>
      </c>
      <c r="K983" s="21">
        <f>IF($I983="","",IFERROR(IF(N(INDEX('Cars'!$J$4:$J$103,MATCH($A983,'Cars'!$A$4:$A$103,0)))&gt;0,ROUND($I983/INDEX('Cars'!$J$4:$J$103,MATCH($A983,'Cars'!$A$4:$A$103,0))*30,0),""),""))</f>
        <v/>
      </c>
      <c r="L983" s="21">
        <f>IF(AND($J983="",$K983=""),"",MIN(IF($J983="",99999,$J983),IF($K983="",99999,$K983)))</f>
        <v/>
      </c>
      <c r="M983" s="16">
        <f>IF(AND($I983="",$J983=""),"",IF(OR(AND($I983&lt;&gt;"",N($I983)&lt;0),AND($J983&lt;&gt;"",N($J983)&lt;0)),"Overdue",IF(OR(AND($I983&lt;&gt;"",N($I983)&lt;=IFERROR(INDEX('Intervals'!$E$4:$E$33,MATCH($B983,'Intervals'!$A$4:$A$33,0)),500)),AND($J983&lt;&gt;"",N($J983)&lt;=IFERROR(INDEX('Intervals'!$F$4:$F$33,MATCH($B983,'Intervals'!$A$4:$A$33,0)),14))),"Due soon","OK")))</f>
        <v/>
      </c>
      <c r="N983" s="15" t="n"/>
      <c r="O983" s="22">
        <f>IF(OR($M983="",$M983="OK"),"",$L983+ROW()/100000)</f>
        <v/>
      </c>
    </row>
    <row r="984">
      <c r="A984" s="15" t="n"/>
      <c r="B984" s="15" t="n"/>
      <c r="C984" s="16">
        <f>IF($B984="","",IFERROR(INDEX('Intervals'!$B$4:$B$33,MATCH($B984,'Intervals'!$A$4:$A$33,0)),""))</f>
        <v/>
      </c>
      <c r="D984" s="17" t="n"/>
      <c r="E984" s="18" t="n"/>
      <c r="F984" s="19">
        <f>IF(OR($B984="",$E984=""),"",IFERROR(IF(AND(INDEX('Intervals'!$G$4:$G$33,MATCH($B984,'Intervals'!$A$4:$A$33,0))&lt;&gt;"No",N(INDEX('Intervals'!$C$4:$C$33,MATCH($B984,'Intervals'!$A$4:$A$33,0)))&gt;0),$E984+N(INDEX('Intervals'!$C$4:$C$33,MATCH($B984,'Intervals'!$A$4:$A$33,0))),""),""))</f>
        <v/>
      </c>
      <c r="G984" s="20">
        <f>IF(OR($B984="",$D984=""),"",IFERROR(IF(AND(INDEX('Intervals'!$G$4:$G$33,MATCH($B984,'Intervals'!$A$4:$A$33,0))&lt;&gt;"No",N(INDEX('Intervals'!$D$4:$D$33,MATCH($B984,'Intervals'!$A$4:$A$33,0)))&gt;0),EDATE($D984,N(INDEX('Intervals'!$D$4:$D$33,MATCH($B984,'Intervals'!$A$4:$A$33,0)))),""),""))</f>
        <v/>
      </c>
      <c r="H984" s="19">
        <f>IF($A984="","",IFERROR(IF(N(INDEX('Cars'!$H$4:$H$103,MATCH($A984,'Cars'!$A$4:$A$103,0)))&gt;0,INDEX('Cars'!$H$4:$H$103,MATCH($A984,'Cars'!$A$4:$A$103,0)),""),""))</f>
        <v/>
      </c>
      <c r="I984" s="19">
        <f>IF(OR($F984="",$H984=""),"",$F984-$H984)</f>
        <v/>
      </c>
      <c r="J984" s="21">
        <f>IF($G984="","",$G984-TODAY())</f>
        <v/>
      </c>
      <c r="K984" s="21">
        <f>IF($I984="","",IFERROR(IF(N(INDEX('Cars'!$J$4:$J$103,MATCH($A984,'Cars'!$A$4:$A$103,0)))&gt;0,ROUND($I984/INDEX('Cars'!$J$4:$J$103,MATCH($A984,'Cars'!$A$4:$A$103,0))*30,0),""),""))</f>
        <v/>
      </c>
      <c r="L984" s="21">
        <f>IF(AND($J984="",$K984=""),"",MIN(IF($J984="",99999,$J984),IF($K984="",99999,$K984)))</f>
        <v/>
      </c>
      <c r="M984" s="16">
        <f>IF(AND($I984="",$J984=""),"",IF(OR(AND($I984&lt;&gt;"",N($I984)&lt;0),AND($J984&lt;&gt;"",N($J984)&lt;0)),"Overdue",IF(OR(AND($I984&lt;&gt;"",N($I984)&lt;=IFERROR(INDEX('Intervals'!$E$4:$E$33,MATCH($B984,'Intervals'!$A$4:$A$33,0)),500)),AND($J984&lt;&gt;"",N($J984)&lt;=IFERROR(INDEX('Intervals'!$F$4:$F$33,MATCH($B984,'Intervals'!$A$4:$A$33,0)),14))),"Due soon","OK")))</f>
        <v/>
      </c>
      <c r="N984" s="15" t="n"/>
      <c r="O984" s="22">
        <f>IF(OR($M984="",$M984="OK"),"",$L984+ROW()/100000)</f>
        <v/>
      </c>
    </row>
    <row r="985">
      <c r="A985" s="15" t="n"/>
      <c r="B985" s="15" t="n"/>
      <c r="C985" s="16">
        <f>IF($B985="","",IFERROR(INDEX('Intervals'!$B$4:$B$33,MATCH($B985,'Intervals'!$A$4:$A$33,0)),""))</f>
        <v/>
      </c>
      <c r="D985" s="17" t="n"/>
      <c r="E985" s="18" t="n"/>
      <c r="F985" s="19">
        <f>IF(OR($B985="",$E985=""),"",IFERROR(IF(AND(INDEX('Intervals'!$G$4:$G$33,MATCH($B985,'Intervals'!$A$4:$A$33,0))&lt;&gt;"No",N(INDEX('Intervals'!$C$4:$C$33,MATCH($B985,'Intervals'!$A$4:$A$33,0)))&gt;0),$E985+N(INDEX('Intervals'!$C$4:$C$33,MATCH($B985,'Intervals'!$A$4:$A$33,0))),""),""))</f>
        <v/>
      </c>
      <c r="G985" s="20">
        <f>IF(OR($B985="",$D985=""),"",IFERROR(IF(AND(INDEX('Intervals'!$G$4:$G$33,MATCH($B985,'Intervals'!$A$4:$A$33,0))&lt;&gt;"No",N(INDEX('Intervals'!$D$4:$D$33,MATCH($B985,'Intervals'!$A$4:$A$33,0)))&gt;0),EDATE($D985,N(INDEX('Intervals'!$D$4:$D$33,MATCH($B985,'Intervals'!$A$4:$A$33,0)))),""),""))</f>
        <v/>
      </c>
      <c r="H985" s="19">
        <f>IF($A985="","",IFERROR(IF(N(INDEX('Cars'!$H$4:$H$103,MATCH($A985,'Cars'!$A$4:$A$103,0)))&gt;0,INDEX('Cars'!$H$4:$H$103,MATCH($A985,'Cars'!$A$4:$A$103,0)),""),""))</f>
        <v/>
      </c>
      <c r="I985" s="19">
        <f>IF(OR($F985="",$H985=""),"",$F985-$H985)</f>
        <v/>
      </c>
      <c r="J985" s="21">
        <f>IF($G985="","",$G985-TODAY())</f>
        <v/>
      </c>
      <c r="K985" s="21">
        <f>IF($I985="","",IFERROR(IF(N(INDEX('Cars'!$J$4:$J$103,MATCH($A985,'Cars'!$A$4:$A$103,0)))&gt;0,ROUND($I985/INDEX('Cars'!$J$4:$J$103,MATCH($A985,'Cars'!$A$4:$A$103,0))*30,0),""),""))</f>
        <v/>
      </c>
      <c r="L985" s="21">
        <f>IF(AND($J985="",$K985=""),"",MIN(IF($J985="",99999,$J985),IF($K985="",99999,$K985)))</f>
        <v/>
      </c>
      <c r="M985" s="16">
        <f>IF(AND($I985="",$J985=""),"",IF(OR(AND($I985&lt;&gt;"",N($I985)&lt;0),AND($J985&lt;&gt;"",N($J985)&lt;0)),"Overdue",IF(OR(AND($I985&lt;&gt;"",N($I985)&lt;=IFERROR(INDEX('Intervals'!$E$4:$E$33,MATCH($B985,'Intervals'!$A$4:$A$33,0)),500)),AND($J985&lt;&gt;"",N($J985)&lt;=IFERROR(INDEX('Intervals'!$F$4:$F$33,MATCH($B985,'Intervals'!$A$4:$A$33,0)),14))),"Due soon","OK")))</f>
        <v/>
      </c>
      <c r="N985" s="15" t="n"/>
      <c r="O985" s="22">
        <f>IF(OR($M985="",$M985="OK"),"",$L985+ROW()/100000)</f>
        <v/>
      </c>
    </row>
    <row r="986">
      <c r="A986" s="15" t="n"/>
      <c r="B986" s="15" t="n"/>
      <c r="C986" s="16">
        <f>IF($B986="","",IFERROR(INDEX('Intervals'!$B$4:$B$33,MATCH($B986,'Intervals'!$A$4:$A$33,0)),""))</f>
        <v/>
      </c>
      <c r="D986" s="17" t="n"/>
      <c r="E986" s="18" t="n"/>
      <c r="F986" s="19">
        <f>IF(OR($B986="",$E986=""),"",IFERROR(IF(AND(INDEX('Intervals'!$G$4:$G$33,MATCH($B986,'Intervals'!$A$4:$A$33,0))&lt;&gt;"No",N(INDEX('Intervals'!$C$4:$C$33,MATCH($B986,'Intervals'!$A$4:$A$33,0)))&gt;0),$E986+N(INDEX('Intervals'!$C$4:$C$33,MATCH($B986,'Intervals'!$A$4:$A$33,0))),""),""))</f>
        <v/>
      </c>
      <c r="G986" s="20">
        <f>IF(OR($B986="",$D986=""),"",IFERROR(IF(AND(INDEX('Intervals'!$G$4:$G$33,MATCH($B986,'Intervals'!$A$4:$A$33,0))&lt;&gt;"No",N(INDEX('Intervals'!$D$4:$D$33,MATCH($B986,'Intervals'!$A$4:$A$33,0)))&gt;0),EDATE($D986,N(INDEX('Intervals'!$D$4:$D$33,MATCH($B986,'Intervals'!$A$4:$A$33,0)))),""),""))</f>
        <v/>
      </c>
      <c r="H986" s="19">
        <f>IF($A986="","",IFERROR(IF(N(INDEX('Cars'!$H$4:$H$103,MATCH($A986,'Cars'!$A$4:$A$103,0)))&gt;0,INDEX('Cars'!$H$4:$H$103,MATCH($A986,'Cars'!$A$4:$A$103,0)),""),""))</f>
        <v/>
      </c>
      <c r="I986" s="19">
        <f>IF(OR($F986="",$H986=""),"",$F986-$H986)</f>
        <v/>
      </c>
      <c r="J986" s="21">
        <f>IF($G986="","",$G986-TODAY())</f>
        <v/>
      </c>
      <c r="K986" s="21">
        <f>IF($I986="","",IFERROR(IF(N(INDEX('Cars'!$J$4:$J$103,MATCH($A986,'Cars'!$A$4:$A$103,0)))&gt;0,ROUND($I986/INDEX('Cars'!$J$4:$J$103,MATCH($A986,'Cars'!$A$4:$A$103,0))*30,0),""),""))</f>
        <v/>
      </c>
      <c r="L986" s="21">
        <f>IF(AND($J986="",$K986=""),"",MIN(IF($J986="",99999,$J986),IF($K986="",99999,$K986)))</f>
        <v/>
      </c>
      <c r="M986" s="16">
        <f>IF(AND($I986="",$J986=""),"",IF(OR(AND($I986&lt;&gt;"",N($I986)&lt;0),AND($J986&lt;&gt;"",N($J986)&lt;0)),"Overdue",IF(OR(AND($I986&lt;&gt;"",N($I986)&lt;=IFERROR(INDEX('Intervals'!$E$4:$E$33,MATCH($B986,'Intervals'!$A$4:$A$33,0)),500)),AND($J986&lt;&gt;"",N($J986)&lt;=IFERROR(INDEX('Intervals'!$F$4:$F$33,MATCH($B986,'Intervals'!$A$4:$A$33,0)),14))),"Due soon","OK")))</f>
        <v/>
      </c>
      <c r="N986" s="15" t="n"/>
      <c r="O986" s="22">
        <f>IF(OR($M986="",$M986="OK"),"",$L986+ROW()/100000)</f>
        <v/>
      </c>
    </row>
    <row r="987">
      <c r="A987" s="15" t="n"/>
      <c r="B987" s="15" t="n"/>
      <c r="C987" s="16">
        <f>IF($B987="","",IFERROR(INDEX('Intervals'!$B$4:$B$33,MATCH($B987,'Intervals'!$A$4:$A$33,0)),""))</f>
        <v/>
      </c>
      <c r="D987" s="17" t="n"/>
      <c r="E987" s="18" t="n"/>
      <c r="F987" s="19">
        <f>IF(OR($B987="",$E987=""),"",IFERROR(IF(AND(INDEX('Intervals'!$G$4:$G$33,MATCH($B987,'Intervals'!$A$4:$A$33,0))&lt;&gt;"No",N(INDEX('Intervals'!$C$4:$C$33,MATCH($B987,'Intervals'!$A$4:$A$33,0)))&gt;0),$E987+N(INDEX('Intervals'!$C$4:$C$33,MATCH($B987,'Intervals'!$A$4:$A$33,0))),""),""))</f>
        <v/>
      </c>
      <c r="G987" s="20">
        <f>IF(OR($B987="",$D987=""),"",IFERROR(IF(AND(INDEX('Intervals'!$G$4:$G$33,MATCH($B987,'Intervals'!$A$4:$A$33,0))&lt;&gt;"No",N(INDEX('Intervals'!$D$4:$D$33,MATCH($B987,'Intervals'!$A$4:$A$33,0)))&gt;0),EDATE($D987,N(INDEX('Intervals'!$D$4:$D$33,MATCH($B987,'Intervals'!$A$4:$A$33,0)))),""),""))</f>
        <v/>
      </c>
      <c r="H987" s="19">
        <f>IF($A987="","",IFERROR(IF(N(INDEX('Cars'!$H$4:$H$103,MATCH($A987,'Cars'!$A$4:$A$103,0)))&gt;0,INDEX('Cars'!$H$4:$H$103,MATCH($A987,'Cars'!$A$4:$A$103,0)),""),""))</f>
        <v/>
      </c>
      <c r="I987" s="19">
        <f>IF(OR($F987="",$H987=""),"",$F987-$H987)</f>
        <v/>
      </c>
      <c r="J987" s="21">
        <f>IF($G987="","",$G987-TODAY())</f>
        <v/>
      </c>
      <c r="K987" s="21">
        <f>IF($I987="","",IFERROR(IF(N(INDEX('Cars'!$J$4:$J$103,MATCH($A987,'Cars'!$A$4:$A$103,0)))&gt;0,ROUND($I987/INDEX('Cars'!$J$4:$J$103,MATCH($A987,'Cars'!$A$4:$A$103,0))*30,0),""),""))</f>
        <v/>
      </c>
      <c r="L987" s="21">
        <f>IF(AND($J987="",$K987=""),"",MIN(IF($J987="",99999,$J987),IF($K987="",99999,$K987)))</f>
        <v/>
      </c>
      <c r="M987" s="16">
        <f>IF(AND($I987="",$J987=""),"",IF(OR(AND($I987&lt;&gt;"",N($I987)&lt;0),AND($J987&lt;&gt;"",N($J987)&lt;0)),"Overdue",IF(OR(AND($I987&lt;&gt;"",N($I987)&lt;=IFERROR(INDEX('Intervals'!$E$4:$E$33,MATCH($B987,'Intervals'!$A$4:$A$33,0)),500)),AND($J987&lt;&gt;"",N($J987)&lt;=IFERROR(INDEX('Intervals'!$F$4:$F$33,MATCH($B987,'Intervals'!$A$4:$A$33,0)),14))),"Due soon","OK")))</f>
        <v/>
      </c>
      <c r="N987" s="15" t="n"/>
      <c r="O987" s="22">
        <f>IF(OR($M987="",$M987="OK"),"",$L987+ROW()/100000)</f>
        <v/>
      </c>
    </row>
    <row r="988">
      <c r="A988" s="15" t="n"/>
      <c r="B988" s="15" t="n"/>
      <c r="C988" s="16">
        <f>IF($B988="","",IFERROR(INDEX('Intervals'!$B$4:$B$33,MATCH($B988,'Intervals'!$A$4:$A$33,0)),""))</f>
        <v/>
      </c>
      <c r="D988" s="17" t="n"/>
      <c r="E988" s="18" t="n"/>
      <c r="F988" s="19">
        <f>IF(OR($B988="",$E988=""),"",IFERROR(IF(AND(INDEX('Intervals'!$G$4:$G$33,MATCH($B988,'Intervals'!$A$4:$A$33,0))&lt;&gt;"No",N(INDEX('Intervals'!$C$4:$C$33,MATCH($B988,'Intervals'!$A$4:$A$33,0)))&gt;0),$E988+N(INDEX('Intervals'!$C$4:$C$33,MATCH($B988,'Intervals'!$A$4:$A$33,0))),""),""))</f>
        <v/>
      </c>
      <c r="G988" s="20">
        <f>IF(OR($B988="",$D988=""),"",IFERROR(IF(AND(INDEX('Intervals'!$G$4:$G$33,MATCH($B988,'Intervals'!$A$4:$A$33,0))&lt;&gt;"No",N(INDEX('Intervals'!$D$4:$D$33,MATCH($B988,'Intervals'!$A$4:$A$33,0)))&gt;0),EDATE($D988,N(INDEX('Intervals'!$D$4:$D$33,MATCH($B988,'Intervals'!$A$4:$A$33,0)))),""),""))</f>
        <v/>
      </c>
      <c r="H988" s="19">
        <f>IF($A988="","",IFERROR(IF(N(INDEX('Cars'!$H$4:$H$103,MATCH($A988,'Cars'!$A$4:$A$103,0)))&gt;0,INDEX('Cars'!$H$4:$H$103,MATCH($A988,'Cars'!$A$4:$A$103,0)),""),""))</f>
        <v/>
      </c>
      <c r="I988" s="19">
        <f>IF(OR($F988="",$H988=""),"",$F988-$H988)</f>
        <v/>
      </c>
      <c r="J988" s="21">
        <f>IF($G988="","",$G988-TODAY())</f>
        <v/>
      </c>
      <c r="K988" s="21">
        <f>IF($I988="","",IFERROR(IF(N(INDEX('Cars'!$J$4:$J$103,MATCH($A988,'Cars'!$A$4:$A$103,0)))&gt;0,ROUND($I988/INDEX('Cars'!$J$4:$J$103,MATCH($A988,'Cars'!$A$4:$A$103,0))*30,0),""),""))</f>
        <v/>
      </c>
      <c r="L988" s="21">
        <f>IF(AND($J988="",$K988=""),"",MIN(IF($J988="",99999,$J988),IF($K988="",99999,$K988)))</f>
        <v/>
      </c>
      <c r="M988" s="16">
        <f>IF(AND($I988="",$J988=""),"",IF(OR(AND($I988&lt;&gt;"",N($I988)&lt;0),AND($J988&lt;&gt;"",N($J988)&lt;0)),"Overdue",IF(OR(AND($I988&lt;&gt;"",N($I988)&lt;=IFERROR(INDEX('Intervals'!$E$4:$E$33,MATCH($B988,'Intervals'!$A$4:$A$33,0)),500)),AND($J988&lt;&gt;"",N($J988)&lt;=IFERROR(INDEX('Intervals'!$F$4:$F$33,MATCH($B988,'Intervals'!$A$4:$A$33,0)),14))),"Due soon","OK")))</f>
        <v/>
      </c>
      <c r="N988" s="15" t="n"/>
      <c r="O988" s="22">
        <f>IF(OR($M988="",$M988="OK"),"",$L988+ROW()/100000)</f>
        <v/>
      </c>
    </row>
    <row r="989">
      <c r="A989" s="15" t="n"/>
      <c r="B989" s="15" t="n"/>
      <c r="C989" s="16">
        <f>IF($B989="","",IFERROR(INDEX('Intervals'!$B$4:$B$33,MATCH($B989,'Intervals'!$A$4:$A$33,0)),""))</f>
        <v/>
      </c>
      <c r="D989" s="17" t="n"/>
      <c r="E989" s="18" t="n"/>
      <c r="F989" s="19">
        <f>IF(OR($B989="",$E989=""),"",IFERROR(IF(AND(INDEX('Intervals'!$G$4:$G$33,MATCH($B989,'Intervals'!$A$4:$A$33,0))&lt;&gt;"No",N(INDEX('Intervals'!$C$4:$C$33,MATCH($B989,'Intervals'!$A$4:$A$33,0)))&gt;0),$E989+N(INDEX('Intervals'!$C$4:$C$33,MATCH($B989,'Intervals'!$A$4:$A$33,0))),""),""))</f>
        <v/>
      </c>
      <c r="G989" s="20">
        <f>IF(OR($B989="",$D989=""),"",IFERROR(IF(AND(INDEX('Intervals'!$G$4:$G$33,MATCH($B989,'Intervals'!$A$4:$A$33,0))&lt;&gt;"No",N(INDEX('Intervals'!$D$4:$D$33,MATCH($B989,'Intervals'!$A$4:$A$33,0)))&gt;0),EDATE($D989,N(INDEX('Intervals'!$D$4:$D$33,MATCH($B989,'Intervals'!$A$4:$A$33,0)))),""),""))</f>
        <v/>
      </c>
      <c r="H989" s="19">
        <f>IF($A989="","",IFERROR(IF(N(INDEX('Cars'!$H$4:$H$103,MATCH($A989,'Cars'!$A$4:$A$103,0)))&gt;0,INDEX('Cars'!$H$4:$H$103,MATCH($A989,'Cars'!$A$4:$A$103,0)),""),""))</f>
        <v/>
      </c>
      <c r="I989" s="19">
        <f>IF(OR($F989="",$H989=""),"",$F989-$H989)</f>
        <v/>
      </c>
      <c r="J989" s="21">
        <f>IF($G989="","",$G989-TODAY())</f>
        <v/>
      </c>
      <c r="K989" s="21">
        <f>IF($I989="","",IFERROR(IF(N(INDEX('Cars'!$J$4:$J$103,MATCH($A989,'Cars'!$A$4:$A$103,0)))&gt;0,ROUND($I989/INDEX('Cars'!$J$4:$J$103,MATCH($A989,'Cars'!$A$4:$A$103,0))*30,0),""),""))</f>
        <v/>
      </c>
      <c r="L989" s="21">
        <f>IF(AND($J989="",$K989=""),"",MIN(IF($J989="",99999,$J989),IF($K989="",99999,$K989)))</f>
        <v/>
      </c>
      <c r="M989" s="16">
        <f>IF(AND($I989="",$J989=""),"",IF(OR(AND($I989&lt;&gt;"",N($I989)&lt;0),AND($J989&lt;&gt;"",N($J989)&lt;0)),"Overdue",IF(OR(AND($I989&lt;&gt;"",N($I989)&lt;=IFERROR(INDEX('Intervals'!$E$4:$E$33,MATCH($B989,'Intervals'!$A$4:$A$33,0)),500)),AND($J989&lt;&gt;"",N($J989)&lt;=IFERROR(INDEX('Intervals'!$F$4:$F$33,MATCH($B989,'Intervals'!$A$4:$A$33,0)),14))),"Due soon","OK")))</f>
        <v/>
      </c>
      <c r="N989" s="15" t="n"/>
      <c r="O989" s="22">
        <f>IF(OR($M989="",$M989="OK"),"",$L989+ROW()/100000)</f>
        <v/>
      </c>
    </row>
    <row r="990">
      <c r="A990" s="15" t="n"/>
      <c r="B990" s="15" t="n"/>
      <c r="C990" s="16">
        <f>IF($B990="","",IFERROR(INDEX('Intervals'!$B$4:$B$33,MATCH($B990,'Intervals'!$A$4:$A$33,0)),""))</f>
        <v/>
      </c>
      <c r="D990" s="17" t="n"/>
      <c r="E990" s="18" t="n"/>
      <c r="F990" s="19">
        <f>IF(OR($B990="",$E990=""),"",IFERROR(IF(AND(INDEX('Intervals'!$G$4:$G$33,MATCH($B990,'Intervals'!$A$4:$A$33,0))&lt;&gt;"No",N(INDEX('Intervals'!$C$4:$C$33,MATCH($B990,'Intervals'!$A$4:$A$33,0)))&gt;0),$E990+N(INDEX('Intervals'!$C$4:$C$33,MATCH($B990,'Intervals'!$A$4:$A$33,0))),""),""))</f>
        <v/>
      </c>
      <c r="G990" s="20">
        <f>IF(OR($B990="",$D990=""),"",IFERROR(IF(AND(INDEX('Intervals'!$G$4:$G$33,MATCH($B990,'Intervals'!$A$4:$A$33,0))&lt;&gt;"No",N(INDEX('Intervals'!$D$4:$D$33,MATCH($B990,'Intervals'!$A$4:$A$33,0)))&gt;0),EDATE($D990,N(INDEX('Intervals'!$D$4:$D$33,MATCH($B990,'Intervals'!$A$4:$A$33,0)))),""),""))</f>
        <v/>
      </c>
      <c r="H990" s="19">
        <f>IF($A990="","",IFERROR(IF(N(INDEX('Cars'!$H$4:$H$103,MATCH($A990,'Cars'!$A$4:$A$103,0)))&gt;0,INDEX('Cars'!$H$4:$H$103,MATCH($A990,'Cars'!$A$4:$A$103,0)),""),""))</f>
        <v/>
      </c>
      <c r="I990" s="19">
        <f>IF(OR($F990="",$H990=""),"",$F990-$H990)</f>
        <v/>
      </c>
      <c r="J990" s="21">
        <f>IF($G990="","",$G990-TODAY())</f>
        <v/>
      </c>
      <c r="K990" s="21">
        <f>IF($I990="","",IFERROR(IF(N(INDEX('Cars'!$J$4:$J$103,MATCH($A990,'Cars'!$A$4:$A$103,0)))&gt;0,ROUND($I990/INDEX('Cars'!$J$4:$J$103,MATCH($A990,'Cars'!$A$4:$A$103,0))*30,0),""),""))</f>
        <v/>
      </c>
      <c r="L990" s="21">
        <f>IF(AND($J990="",$K990=""),"",MIN(IF($J990="",99999,$J990),IF($K990="",99999,$K990)))</f>
        <v/>
      </c>
      <c r="M990" s="16">
        <f>IF(AND($I990="",$J990=""),"",IF(OR(AND($I990&lt;&gt;"",N($I990)&lt;0),AND($J990&lt;&gt;"",N($J990)&lt;0)),"Overdue",IF(OR(AND($I990&lt;&gt;"",N($I990)&lt;=IFERROR(INDEX('Intervals'!$E$4:$E$33,MATCH($B990,'Intervals'!$A$4:$A$33,0)),500)),AND($J990&lt;&gt;"",N($J990)&lt;=IFERROR(INDEX('Intervals'!$F$4:$F$33,MATCH($B990,'Intervals'!$A$4:$A$33,0)),14))),"Due soon","OK")))</f>
        <v/>
      </c>
      <c r="N990" s="15" t="n"/>
      <c r="O990" s="22">
        <f>IF(OR($M990="",$M990="OK"),"",$L990+ROW()/100000)</f>
        <v/>
      </c>
    </row>
    <row r="991">
      <c r="A991" s="15" t="n"/>
      <c r="B991" s="15" t="n"/>
      <c r="C991" s="16">
        <f>IF($B991="","",IFERROR(INDEX('Intervals'!$B$4:$B$33,MATCH($B991,'Intervals'!$A$4:$A$33,0)),""))</f>
        <v/>
      </c>
      <c r="D991" s="17" t="n"/>
      <c r="E991" s="18" t="n"/>
      <c r="F991" s="19">
        <f>IF(OR($B991="",$E991=""),"",IFERROR(IF(AND(INDEX('Intervals'!$G$4:$G$33,MATCH($B991,'Intervals'!$A$4:$A$33,0))&lt;&gt;"No",N(INDEX('Intervals'!$C$4:$C$33,MATCH($B991,'Intervals'!$A$4:$A$33,0)))&gt;0),$E991+N(INDEX('Intervals'!$C$4:$C$33,MATCH($B991,'Intervals'!$A$4:$A$33,0))),""),""))</f>
        <v/>
      </c>
      <c r="G991" s="20">
        <f>IF(OR($B991="",$D991=""),"",IFERROR(IF(AND(INDEX('Intervals'!$G$4:$G$33,MATCH($B991,'Intervals'!$A$4:$A$33,0))&lt;&gt;"No",N(INDEX('Intervals'!$D$4:$D$33,MATCH($B991,'Intervals'!$A$4:$A$33,0)))&gt;0),EDATE($D991,N(INDEX('Intervals'!$D$4:$D$33,MATCH($B991,'Intervals'!$A$4:$A$33,0)))),""),""))</f>
        <v/>
      </c>
      <c r="H991" s="19">
        <f>IF($A991="","",IFERROR(IF(N(INDEX('Cars'!$H$4:$H$103,MATCH($A991,'Cars'!$A$4:$A$103,0)))&gt;0,INDEX('Cars'!$H$4:$H$103,MATCH($A991,'Cars'!$A$4:$A$103,0)),""),""))</f>
        <v/>
      </c>
      <c r="I991" s="19">
        <f>IF(OR($F991="",$H991=""),"",$F991-$H991)</f>
        <v/>
      </c>
      <c r="J991" s="21">
        <f>IF($G991="","",$G991-TODAY())</f>
        <v/>
      </c>
      <c r="K991" s="21">
        <f>IF($I991="","",IFERROR(IF(N(INDEX('Cars'!$J$4:$J$103,MATCH($A991,'Cars'!$A$4:$A$103,0)))&gt;0,ROUND($I991/INDEX('Cars'!$J$4:$J$103,MATCH($A991,'Cars'!$A$4:$A$103,0))*30,0),""),""))</f>
        <v/>
      </c>
      <c r="L991" s="21">
        <f>IF(AND($J991="",$K991=""),"",MIN(IF($J991="",99999,$J991),IF($K991="",99999,$K991)))</f>
        <v/>
      </c>
      <c r="M991" s="16">
        <f>IF(AND($I991="",$J991=""),"",IF(OR(AND($I991&lt;&gt;"",N($I991)&lt;0),AND($J991&lt;&gt;"",N($J991)&lt;0)),"Overdue",IF(OR(AND($I991&lt;&gt;"",N($I991)&lt;=IFERROR(INDEX('Intervals'!$E$4:$E$33,MATCH($B991,'Intervals'!$A$4:$A$33,0)),500)),AND($J991&lt;&gt;"",N($J991)&lt;=IFERROR(INDEX('Intervals'!$F$4:$F$33,MATCH($B991,'Intervals'!$A$4:$A$33,0)),14))),"Due soon","OK")))</f>
        <v/>
      </c>
      <c r="N991" s="15" t="n"/>
      <c r="O991" s="22">
        <f>IF(OR($M991="",$M991="OK"),"",$L991+ROW()/100000)</f>
        <v/>
      </c>
    </row>
    <row r="992">
      <c r="A992" s="15" t="n"/>
      <c r="B992" s="15" t="n"/>
      <c r="C992" s="16">
        <f>IF($B992="","",IFERROR(INDEX('Intervals'!$B$4:$B$33,MATCH($B992,'Intervals'!$A$4:$A$33,0)),""))</f>
        <v/>
      </c>
      <c r="D992" s="17" t="n"/>
      <c r="E992" s="18" t="n"/>
      <c r="F992" s="19">
        <f>IF(OR($B992="",$E992=""),"",IFERROR(IF(AND(INDEX('Intervals'!$G$4:$G$33,MATCH($B992,'Intervals'!$A$4:$A$33,0))&lt;&gt;"No",N(INDEX('Intervals'!$C$4:$C$33,MATCH($B992,'Intervals'!$A$4:$A$33,0)))&gt;0),$E992+N(INDEX('Intervals'!$C$4:$C$33,MATCH($B992,'Intervals'!$A$4:$A$33,0))),""),""))</f>
        <v/>
      </c>
      <c r="G992" s="20">
        <f>IF(OR($B992="",$D992=""),"",IFERROR(IF(AND(INDEX('Intervals'!$G$4:$G$33,MATCH($B992,'Intervals'!$A$4:$A$33,0))&lt;&gt;"No",N(INDEX('Intervals'!$D$4:$D$33,MATCH($B992,'Intervals'!$A$4:$A$33,0)))&gt;0),EDATE($D992,N(INDEX('Intervals'!$D$4:$D$33,MATCH($B992,'Intervals'!$A$4:$A$33,0)))),""),""))</f>
        <v/>
      </c>
      <c r="H992" s="19">
        <f>IF($A992="","",IFERROR(IF(N(INDEX('Cars'!$H$4:$H$103,MATCH($A992,'Cars'!$A$4:$A$103,0)))&gt;0,INDEX('Cars'!$H$4:$H$103,MATCH($A992,'Cars'!$A$4:$A$103,0)),""),""))</f>
        <v/>
      </c>
      <c r="I992" s="19">
        <f>IF(OR($F992="",$H992=""),"",$F992-$H992)</f>
        <v/>
      </c>
      <c r="J992" s="21">
        <f>IF($G992="","",$G992-TODAY())</f>
        <v/>
      </c>
      <c r="K992" s="21">
        <f>IF($I992="","",IFERROR(IF(N(INDEX('Cars'!$J$4:$J$103,MATCH($A992,'Cars'!$A$4:$A$103,0)))&gt;0,ROUND($I992/INDEX('Cars'!$J$4:$J$103,MATCH($A992,'Cars'!$A$4:$A$103,0))*30,0),""),""))</f>
        <v/>
      </c>
      <c r="L992" s="21">
        <f>IF(AND($J992="",$K992=""),"",MIN(IF($J992="",99999,$J992),IF($K992="",99999,$K992)))</f>
        <v/>
      </c>
      <c r="M992" s="16">
        <f>IF(AND($I992="",$J992=""),"",IF(OR(AND($I992&lt;&gt;"",N($I992)&lt;0),AND($J992&lt;&gt;"",N($J992)&lt;0)),"Overdue",IF(OR(AND($I992&lt;&gt;"",N($I992)&lt;=IFERROR(INDEX('Intervals'!$E$4:$E$33,MATCH($B992,'Intervals'!$A$4:$A$33,0)),500)),AND($J992&lt;&gt;"",N($J992)&lt;=IFERROR(INDEX('Intervals'!$F$4:$F$33,MATCH($B992,'Intervals'!$A$4:$A$33,0)),14))),"Due soon","OK")))</f>
        <v/>
      </c>
      <c r="N992" s="15" t="n"/>
      <c r="O992" s="22">
        <f>IF(OR($M992="",$M992="OK"),"",$L992+ROW()/100000)</f>
        <v/>
      </c>
    </row>
    <row r="993">
      <c r="A993" s="15" t="n"/>
      <c r="B993" s="15" t="n"/>
      <c r="C993" s="16">
        <f>IF($B993="","",IFERROR(INDEX('Intervals'!$B$4:$B$33,MATCH($B993,'Intervals'!$A$4:$A$33,0)),""))</f>
        <v/>
      </c>
      <c r="D993" s="17" t="n"/>
      <c r="E993" s="18" t="n"/>
      <c r="F993" s="19">
        <f>IF(OR($B993="",$E993=""),"",IFERROR(IF(AND(INDEX('Intervals'!$G$4:$G$33,MATCH($B993,'Intervals'!$A$4:$A$33,0))&lt;&gt;"No",N(INDEX('Intervals'!$C$4:$C$33,MATCH($B993,'Intervals'!$A$4:$A$33,0)))&gt;0),$E993+N(INDEX('Intervals'!$C$4:$C$33,MATCH($B993,'Intervals'!$A$4:$A$33,0))),""),""))</f>
        <v/>
      </c>
      <c r="G993" s="20">
        <f>IF(OR($B993="",$D993=""),"",IFERROR(IF(AND(INDEX('Intervals'!$G$4:$G$33,MATCH($B993,'Intervals'!$A$4:$A$33,0))&lt;&gt;"No",N(INDEX('Intervals'!$D$4:$D$33,MATCH($B993,'Intervals'!$A$4:$A$33,0)))&gt;0),EDATE($D993,N(INDEX('Intervals'!$D$4:$D$33,MATCH($B993,'Intervals'!$A$4:$A$33,0)))),""),""))</f>
        <v/>
      </c>
      <c r="H993" s="19">
        <f>IF($A993="","",IFERROR(IF(N(INDEX('Cars'!$H$4:$H$103,MATCH($A993,'Cars'!$A$4:$A$103,0)))&gt;0,INDEX('Cars'!$H$4:$H$103,MATCH($A993,'Cars'!$A$4:$A$103,0)),""),""))</f>
        <v/>
      </c>
      <c r="I993" s="19">
        <f>IF(OR($F993="",$H993=""),"",$F993-$H993)</f>
        <v/>
      </c>
      <c r="J993" s="21">
        <f>IF($G993="","",$G993-TODAY())</f>
        <v/>
      </c>
      <c r="K993" s="21">
        <f>IF($I993="","",IFERROR(IF(N(INDEX('Cars'!$J$4:$J$103,MATCH($A993,'Cars'!$A$4:$A$103,0)))&gt;0,ROUND($I993/INDEX('Cars'!$J$4:$J$103,MATCH($A993,'Cars'!$A$4:$A$103,0))*30,0),""),""))</f>
        <v/>
      </c>
      <c r="L993" s="21">
        <f>IF(AND($J993="",$K993=""),"",MIN(IF($J993="",99999,$J993),IF($K993="",99999,$K993)))</f>
        <v/>
      </c>
      <c r="M993" s="16">
        <f>IF(AND($I993="",$J993=""),"",IF(OR(AND($I993&lt;&gt;"",N($I993)&lt;0),AND($J993&lt;&gt;"",N($J993)&lt;0)),"Overdue",IF(OR(AND($I993&lt;&gt;"",N($I993)&lt;=IFERROR(INDEX('Intervals'!$E$4:$E$33,MATCH($B993,'Intervals'!$A$4:$A$33,0)),500)),AND($J993&lt;&gt;"",N($J993)&lt;=IFERROR(INDEX('Intervals'!$F$4:$F$33,MATCH($B993,'Intervals'!$A$4:$A$33,0)),14))),"Due soon","OK")))</f>
        <v/>
      </c>
      <c r="N993" s="15" t="n"/>
      <c r="O993" s="22">
        <f>IF(OR($M993="",$M993="OK"),"",$L993+ROW()/100000)</f>
        <v/>
      </c>
    </row>
    <row r="994">
      <c r="A994" s="15" t="n"/>
      <c r="B994" s="15" t="n"/>
      <c r="C994" s="16">
        <f>IF($B994="","",IFERROR(INDEX('Intervals'!$B$4:$B$33,MATCH($B994,'Intervals'!$A$4:$A$33,0)),""))</f>
        <v/>
      </c>
      <c r="D994" s="17" t="n"/>
      <c r="E994" s="18" t="n"/>
      <c r="F994" s="19">
        <f>IF(OR($B994="",$E994=""),"",IFERROR(IF(AND(INDEX('Intervals'!$G$4:$G$33,MATCH($B994,'Intervals'!$A$4:$A$33,0))&lt;&gt;"No",N(INDEX('Intervals'!$C$4:$C$33,MATCH($B994,'Intervals'!$A$4:$A$33,0)))&gt;0),$E994+N(INDEX('Intervals'!$C$4:$C$33,MATCH($B994,'Intervals'!$A$4:$A$33,0))),""),""))</f>
        <v/>
      </c>
      <c r="G994" s="20">
        <f>IF(OR($B994="",$D994=""),"",IFERROR(IF(AND(INDEX('Intervals'!$G$4:$G$33,MATCH($B994,'Intervals'!$A$4:$A$33,0))&lt;&gt;"No",N(INDEX('Intervals'!$D$4:$D$33,MATCH($B994,'Intervals'!$A$4:$A$33,0)))&gt;0),EDATE($D994,N(INDEX('Intervals'!$D$4:$D$33,MATCH($B994,'Intervals'!$A$4:$A$33,0)))),""),""))</f>
        <v/>
      </c>
      <c r="H994" s="19">
        <f>IF($A994="","",IFERROR(IF(N(INDEX('Cars'!$H$4:$H$103,MATCH($A994,'Cars'!$A$4:$A$103,0)))&gt;0,INDEX('Cars'!$H$4:$H$103,MATCH($A994,'Cars'!$A$4:$A$103,0)),""),""))</f>
        <v/>
      </c>
      <c r="I994" s="19">
        <f>IF(OR($F994="",$H994=""),"",$F994-$H994)</f>
        <v/>
      </c>
      <c r="J994" s="21">
        <f>IF($G994="","",$G994-TODAY())</f>
        <v/>
      </c>
      <c r="K994" s="21">
        <f>IF($I994="","",IFERROR(IF(N(INDEX('Cars'!$J$4:$J$103,MATCH($A994,'Cars'!$A$4:$A$103,0)))&gt;0,ROUND($I994/INDEX('Cars'!$J$4:$J$103,MATCH($A994,'Cars'!$A$4:$A$103,0))*30,0),""),""))</f>
        <v/>
      </c>
      <c r="L994" s="21">
        <f>IF(AND($J994="",$K994=""),"",MIN(IF($J994="",99999,$J994),IF($K994="",99999,$K994)))</f>
        <v/>
      </c>
      <c r="M994" s="16">
        <f>IF(AND($I994="",$J994=""),"",IF(OR(AND($I994&lt;&gt;"",N($I994)&lt;0),AND($J994&lt;&gt;"",N($J994)&lt;0)),"Overdue",IF(OR(AND($I994&lt;&gt;"",N($I994)&lt;=IFERROR(INDEX('Intervals'!$E$4:$E$33,MATCH($B994,'Intervals'!$A$4:$A$33,0)),500)),AND($J994&lt;&gt;"",N($J994)&lt;=IFERROR(INDEX('Intervals'!$F$4:$F$33,MATCH($B994,'Intervals'!$A$4:$A$33,0)),14))),"Due soon","OK")))</f>
        <v/>
      </c>
      <c r="N994" s="15" t="n"/>
      <c r="O994" s="22">
        <f>IF(OR($M994="",$M994="OK"),"",$L994+ROW()/100000)</f>
        <v/>
      </c>
    </row>
    <row r="995">
      <c r="A995" s="15" t="n"/>
      <c r="B995" s="15" t="n"/>
      <c r="C995" s="16">
        <f>IF($B995="","",IFERROR(INDEX('Intervals'!$B$4:$B$33,MATCH($B995,'Intervals'!$A$4:$A$33,0)),""))</f>
        <v/>
      </c>
      <c r="D995" s="17" t="n"/>
      <c r="E995" s="18" t="n"/>
      <c r="F995" s="19">
        <f>IF(OR($B995="",$E995=""),"",IFERROR(IF(AND(INDEX('Intervals'!$G$4:$G$33,MATCH($B995,'Intervals'!$A$4:$A$33,0))&lt;&gt;"No",N(INDEX('Intervals'!$C$4:$C$33,MATCH($B995,'Intervals'!$A$4:$A$33,0)))&gt;0),$E995+N(INDEX('Intervals'!$C$4:$C$33,MATCH($B995,'Intervals'!$A$4:$A$33,0))),""),""))</f>
        <v/>
      </c>
      <c r="G995" s="20">
        <f>IF(OR($B995="",$D995=""),"",IFERROR(IF(AND(INDEX('Intervals'!$G$4:$G$33,MATCH($B995,'Intervals'!$A$4:$A$33,0))&lt;&gt;"No",N(INDEX('Intervals'!$D$4:$D$33,MATCH($B995,'Intervals'!$A$4:$A$33,0)))&gt;0),EDATE($D995,N(INDEX('Intervals'!$D$4:$D$33,MATCH($B995,'Intervals'!$A$4:$A$33,0)))),""),""))</f>
        <v/>
      </c>
      <c r="H995" s="19">
        <f>IF($A995="","",IFERROR(IF(N(INDEX('Cars'!$H$4:$H$103,MATCH($A995,'Cars'!$A$4:$A$103,0)))&gt;0,INDEX('Cars'!$H$4:$H$103,MATCH($A995,'Cars'!$A$4:$A$103,0)),""),""))</f>
        <v/>
      </c>
      <c r="I995" s="19">
        <f>IF(OR($F995="",$H995=""),"",$F995-$H995)</f>
        <v/>
      </c>
      <c r="J995" s="21">
        <f>IF($G995="","",$G995-TODAY())</f>
        <v/>
      </c>
      <c r="K995" s="21">
        <f>IF($I995="","",IFERROR(IF(N(INDEX('Cars'!$J$4:$J$103,MATCH($A995,'Cars'!$A$4:$A$103,0)))&gt;0,ROUND($I995/INDEX('Cars'!$J$4:$J$103,MATCH($A995,'Cars'!$A$4:$A$103,0))*30,0),""),""))</f>
        <v/>
      </c>
      <c r="L995" s="21">
        <f>IF(AND($J995="",$K995=""),"",MIN(IF($J995="",99999,$J995),IF($K995="",99999,$K995)))</f>
        <v/>
      </c>
      <c r="M995" s="16">
        <f>IF(AND($I995="",$J995=""),"",IF(OR(AND($I995&lt;&gt;"",N($I995)&lt;0),AND($J995&lt;&gt;"",N($J995)&lt;0)),"Overdue",IF(OR(AND($I995&lt;&gt;"",N($I995)&lt;=IFERROR(INDEX('Intervals'!$E$4:$E$33,MATCH($B995,'Intervals'!$A$4:$A$33,0)),500)),AND($J995&lt;&gt;"",N($J995)&lt;=IFERROR(INDEX('Intervals'!$F$4:$F$33,MATCH($B995,'Intervals'!$A$4:$A$33,0)),14))),"Due soon","OK")))</f>
        <v/>
      </c>
      <c r="N995" s="15" t="n"/>
      <c r="O995" s="22">
        <f>IF(OR($M995="",$M995="OK"),"",$L995+ROW()/100000)</f>
        <v/>
      </c>
    </row>
    <row r="996">
      <c r="A996" s="15" t="n"/>
      <c r="B996" s="15" t="n"/>
      <c r="C996" s="16">
        <f>IF($B996="","",IFERROR(INDEX('Intervals'!$B$4:$B$33,MATCH($B996,'Intervals'!$A$4:$A$33,0)),""))</f>
        <v/>
      </c>
      <c r="D996" s="17" t="n"/>
      <c r="E996" s="18" t="n"/>
      <c r="F996" s="19">
        <f>IF(OR($B996="",$E996=""),"",IFERROR(IF(AND(INDEX('Intervals'!$G$4:$G$33,MATCH($B996,'Intervals'!$A$4:$A$33,0))&lt;&gt;"No",N(INDEX('Intervals'!$C$4:$C$33,MATCH($B996,'Intervals'!$A$4:$A$33,0)))&gt;0),$E996+N(INDEX('Intervals'!$C$4:$C$33,MATCH($B996,'Intervals'!$A$4:$A$33,0))),""),""))</f>
        <v/>
      </c>
      <c r="G996" s="20">
        <f>IF(OR($B996="",$D996=""),"",IFERROR(IF(AND(INDEX('Intervals'!$G$4:$G$33,MATCH($B996,'Intervals'!$A$4:$A$33,0))&lt;&gt;"No",N(INDEX('Intervals'!$D$4:$D$33,MATCH($B996,'Intervals'!$A$4:$A$33,0)))&gt;0),EDATE($D996,N(INDEX('Intervals'!$D$4:$D$33,MATCH($B996,'Intervals'!$A$4:$A$33,0)))),""),""))</f>
        <v/>
      </c>
      <c r="H996" s="19">
        <f>IF($A996="","",IFERROR(IF(N(INDEX('Cars'!$H$4:$H$103,MATCH($A996,'Cars'!$A$4:$A$103,0)))&gt;0,INDEX('Cars'!$H$4:$H$103,MATCH($A996,'Cars'!$A$4:$A$103,0)),""),""))</f>
        <v/>
      </c>
      <c r="I996" s="19">
        <f>IF(OR($F996="",$H996=""),"",$F996-$H996)</f>
        <v/>
      </c>
      <c r="J996" s="21">
        <f>IF($G996="","",$G996-TODAY())</f>
        <v/>
      </c>
      <c r="K996" s="21">
        <f>IF($I996="","",IFERROR(IF(N(INDEX('Cars'!$J$4:$J$103,MATCH($A996,'Cars'!$A$4:$A$103,0)))&gt;0,ROUND($I996/INDEX('Cars'!$J$4:$J$103,MATCH($A996,'Cars'!$A$4:$A$103,0))*30,0),""),""))</f>
        <v/>
      </c>
      <c r="L996" s="21">
        <f>IF(AND($J996="",$K996=""),"",MIN(IF($J996="",99999,$J996),IF($K996="",99999,$K996)))</f>
        <v/>
      </c>
      <c r="M996" s="16">
        <f>IF(AND($I996="",$J996=""),"",IF(OR(AND($I996&lt;&gt;"",N($I996)&lt;0),AND($J996&lt;&gt;"",N($J996)&lt;0)),"Overdue",IF(OR(AND($I996&lt;&gt;"",N($I996)&lt;=IFERROR(INDEX('Intervals'!$E$4:$E$33,MATCH($B996,'Intervals'!$A$4:$A$33,0)),500)),AND($J996&lt;&gt;"",N($J996)&lt;=IFERROR(INDEX('Intervals'!$F$4:$F$33,MATCH($B996,'Intervals'!$A$4:$A$33,0)),14))),"Due soon","OK")))</f>
        <v/>
      </c>
      <c r="N996" s="15" t="n"/>
      <c r="O996" s="22">
        <f>IF(OR($M996="",$M996="OK"),"",$L996+ROW()/100000)</f>
        <v/>
      </c>
    </row>
    <row r="997">
      <c r="A997" s="15" t="n"/>
      <c r="B997" s="15" t="n"/>
      <c r="C997" s="16">
        <f>IF($B997="","",IFERROR(INDEX('Intervals'!$B$4:$B$33,MATCH($B997,'Intervals'!$A$4:$A$33,0)),""))</f>
        <v/>
      </c>
      <c r="D997" s="17" t="n"/>
      <c r="E997" s="18" t="n"/>
      <c r="F997" s="19">
        <f>IF(OR($B997="",$E997=""),"",IFERROR(IF(AND(INDEX('Intervals'!$G$4:$G$33,MATCH($B997,'Intervals'!$A$4:$A$33,0))&lt;&gt;"No",N(INDEX('Intervals'!$C$4:$C$33,MATCH($B997,'Intervals'!$A$4:$A$33,0)))&gt;0),$E997+N(INDEX('Intervals'!$C$4:$C$33,MATCH($B997,'Intervals'!$A$4:$A$33,0))),""),""))</f>
        <v/>
      </c>
      <c r="G997" s="20">
        <f>IF(OR($B997="",$D997=""),"",IFERROR(IF(AND(INDEX('Intervals'!$G$4:$G$33,MATCH($B997,'Intervals'!$A$4:$A$33,0))&lt;&gt;"No",N(INDEX('Intervals'!$D$4:$D$33,MATCH($B997,'Intervals'!$A$4:$A$33,0)))&gt;0),EDATE($D997,N(INDEX('Intervals'!$D$4:$D$33,MATCH($B997,'Intervals'!$A$4:$A$33,0)))),""),""))</f>
        <v/>
      </c>
      <c r="H997" s="19">
        <f>IF($A997="","",IFERROR(IF(N(INDEX('Cars'!$H$4:$H$103,MATCH($A997,'Cars'!$A$4:$A$103,0)))&gt;0,INDEX('Cars'!$H$4:$H$103,MATCH($A997,'Cars'!$A$4:$A$103,0)),""),""))</f>
        <v/>
      </c>
      <c r="I997" s="19">
        <f>IF(OR($F997="",$H997=""),"",$F997-$H997)</f>
        <v/>
      </c>
      <c r="J997" s="21">
        <f>IF($G997="","",$G997-TODAY())</f>
        <v/>
      </c>
      <c r="K997" s="21">
        <f>IF($I997="","",IFERROR(IF(N(INDEX('Cars'!$J$4:$J$103,MATCH($A997,'Cars'!$A$4:$A$103,0)))&gt;0,ROUND($I997/INDEX('Cars'!$J$4:$J$103,MATCH($A997,'Cars'!$A$4:$A$103,0))*30,0),""),""))</f>
        <v/>
      </c>
      <c r="L997" s="21">
        <f>IF(AND($J997="",$K997=""),"",MIN(IF($J997="",99999,$J997),IF($K997="",99999,$K997)))</f>
        <v/>
      </c>
      <c r="M997" s="16">
        <f>IF(AND($I997="",$J997=""),"",IF(OR(AND($I997&lt;&gt;"",N($I997)&lt;0),AND($J997&lt;&gt;"",N($J997)&lt;0)),"Overdue",IF(OR(AND($I997&lt;&gt;"",N($I997)&lt;=IFERROR(INDEX('Intervals'!$E$4:$E$33,MATCH($B997,'Intervals'!$A$4:$A$33,0)),500)),AND($J997&lt;&gt;"",N($J997)&lt;=IFERROR(INDEX('Intervals'!$F$4:$F$33,MATCH($B997,'Intervals'!$A$4:$A$33,0)),14))),"Due soon","OK")))</f>
        <v/>
      </c>
      <c r="N997" s="15" t="n"/>
      <c r="O997" s="22">
        <f>IF(OR($M997="",$M997="OK"),"",$L997+ROW()/100000)</f>
        <v/>
      </c>
    </row>
    <row r="998">
      <c r="A998" s="15" t="n"/>
      <c r="B998" s="15" t="n"/>
      <c r="C998" s="16">
        <f>IF($B998="","",IFERROR(INDEX('Intervals'!$B$4:$B$33,MATCH($B998,'Intervals'!$A$4:$A$33,0)),""))</f>
        <v/>
      </c>
      <c r="D998" s="17" t="n"/>
      <c r="E998" s="18" t="n"/>
      <c r="F998" s="19">
        <f>IF(OR($B998="",$E998=""),"",IFERROR(IF(AND(INDEX('Intervals'!$G$4:$G$33,MATCH($B998,'Intervals'!$A$4:$A$33,0))&lt;&gt;"No",N(INDEX('Intervals'!$C$4:$C$33,MATCH($B998,'Intervals'!$A$4:$A$33,0)))&gt;0),$E998+N(INDEX('Intervals'!$C$4:$C$33,MATCH($B998,'Intervals'!$A$4:$A$33,0))),""),""))</f>
        <v/>
      </c>
      <c r="G998" s="20">
        <f>IF(OR($B998="",$D998=""),"",IFERROR(IF(AND(INDEX('Intervals'!$G$4:$G$33,MATCH($B998,'Intervals'!$A$4:$A$33,0))&lt;&gt;"No",N(INDEX('Intervals'!$D$4:$D$33,MATCH($B998,'Intervals'!$A$4:$A$33,0)))&gt;0),EDATE($D998,N(INDEX('Intervals'!$D$4:$D$33,MATCH($B998,'Intervals'!$A$4:$A$33,0)))),""),""))</f>
        <v/>
      </c>
      <c r="H998" s="19">
        <f>IF($A998="","",IFERROR(IF(N(INDEX('Cars'!$H$4:$H$103,MATCH($A998,'Cars'!$A$4:$A$103,0)))&gt;0,INDEX('Cars'!$H$4:$H$103,MATCH($A998,'Cars'!$A$4:$A$103,0)),""),""))</f>
        <v/>
      </c>
      <c r="I998" s="19">
        <f>IF(OR($F998="",$H998=""),"",$F998-$H998)</f>
        <v/>
      </c>
      <c r="J998" s="21">
        <f>IF($G998="","",$G998-TODAY())</f>
        <v/>
      </c>
      <c r="K998" s="21">
        <f>IF($I998="","",IFERROR(IF(N(INDEX('Cars'!$J$4:$J$103,MATCH($A998,'Cars'!$A$4:$A$103,0)))&gt;0,ROUND($I998/INDEX('Cars'!$J$4:$J$103,MATCH($A998,'Cars'!$A$4:$A$103,0))*30,0),""),""))</f>
        <v/>
      </c>
      <c r="L998" s="21">
        <f>IF(AND($J998="",$K998=""),"",MIN(IF($J998="",99999,$J998),IF($K998="",99999,$K998)))</f>
        <v/>
      </c>
      <c r="M998" s="16">
        <f>IF(AND($I998="",$J998=""),"",IF(OR(AND($I998&lt;&gt;"",N($I998)&lt;0),AND($J998&lt;&gt;"",N($J998)&lt;0)),"Overdue",IF(OR(AND($I998&lt;&gt;"",N($I998)&lt;=IFERROR(INDEX('Intervals'!$E$4:$E$33,MATCH($B998,'Intervals'!$A$4:$A$33,0)),500)),AND($J998&lt;&gt;"",N($J998)&lt;=IFERROR(INDEX('Intervals'!$F$4:$F$33,MATCH($B998,'Intervals'!$A$4:$A$33,0)),14))),"Due soon","OK")))</f>
        <v/>
      </c>
      <c r="N998" s="15" t="n"/>
      <c r="O998" s="22">
        <f>IF(OR($M998="",$M998="OK"),"",$L998+ROW()/100000)</f>
        <v/>
      </c>
    </row>
    <row r="999">
      <c r="A999" s="15" t="n"/>
      <c r="B999" s="15" t="n"/>
      <c r="C999" s="16">
        <f>IF($B999="","",IFERROR(INDEX('Intervals'!$B$4:$B$33,MATCH($B999,'Intervals'!$A$4:$A$33,0)),""))</f>
        <v/>
      </c>
      <c r="D999" s="17" t="n"/>
      <c r="E999" s="18" t="n"/>
      <c r="F999" s="19">
        <f>IF(OR($B999="",$E999=""),"",IFERROR(IF(AND(INDEX('Intervals'!$G$4:$G$33,MATCH($B999,'Intervals'!$A$4:$A$33,0))&lt;&gt;"No",N(INDEX('Intervals'!$C$4:$C$33,MATCH($B999,'Intervals'!$A$4:$A$33,0)))&gt;0),$E999+N(INDEX('Intervals'!$C$4:$C$33,MATCH($B999,'Intervals'!$A$4:$A$33,0))),""),""))</f>
        <v/>
      </c>
      <c r="G999" s="20">
        <f>IF(OR($B999="",$D999=""),"",IFERROR(IF(AND(INDEX('Intervals'!$G$4:$G$33,MATCH($B999,'Intervals'!$A$4:$A$33,0))&lt;&gt;"No",N(INDEX('Intervals'!$D$4:$D$33,MATCH($B999,'Intervals'!$A$4:$A$33,0)))&gt;0),EDATE($D999,N(INDEX('Intervals'!$D$4:$D$33,MATCH($B999,'Intervals'!$A$4:$A$33,0)))),""),""))</f>
        <v/>
      </c>
      <c r="H999" s="19">
        <f>IF($A999="","",IFERROR(IF(N(INDEX('Cars'!$H$4:$H$103,MATCH($A999,'Cars'!$A$4:$A$103,0)))&gt;0,INDEX('Cars'!$H$4:$H$103,MATCH($A999,'Cars'!$A$4:$A$103,0)),""),""))</f>
        <v/>
      </c>
      <c r="I999" s="19">
        <f>IF(OR($F999="",$H999=""),"",$F999-$H999)</f>
        <v/>
      </c>
      <c r="J999" s="21">
        <f>IF($G999="","",$G999-TODAY())</f>
        <v/>
      </c>
      <c r="K999" s="21">
        <f>IF($I999="","",IFERROR(IF(N(INDEX('Cars'!$J$4:$J$103,MATCH($A999,'Cars'!$A$4:$A$103,0)))&gt;0,ROUND($I999/INDEX('Cars'!$J$4:$J$103,MATCH($A999,'Cars'!$A$4:$A$103,0))*30,0),""),""))</f>
        <v/>
      </c>
      <c r="L999" s="21">
        <f>IF(AND($J999="",$K999=""),"",MIN(IF($J999="",99999,$J999),IF($K999="",99999,$K999)))</f>
        <v/>
      </c>
      <c r="M999" s="16">
        <f>IF(AND($I999="",$J999=""),"",IF(OR(AND($I999&lt;&gt;"",N($I999)&lt;0),AND($J999&lt;&gt;"",N($J999)&lt;0)),"Overdue",IF(OR(AND($I999&lt;&gt;"",N($I999)&lt;=IFERROR(INDEX('Intervals'!$E$4:$E$33,MATCH($B999,'Intervals'!$A$4:$A$33,0)),500)),AND($J999&lt;&gt;"",N($J999)&lt;=IFERROR(INDEX('Intervals'!$F$4:$F$33,MATCH($B999,'Intervals'!$A$4:$A$33,0)),14))),"Due soon","OK")))</f>
        <v/>
      </c>
      <c r="N999" s="15" t="n"/>
      <c r="O999" s="22">
        <f>IF(OR($M999="",$M999="OK"),"",$L999+ROW()/100000)</f>
        <v/>
      </c>
    </row>
    <row r="1000">
      <c r="A1000" s="15" t="n"/>
      <c r="B1000" s="15" t="n"/>
      <c r="C1000" s="16">
        <f>IF($B1000="","",IFERROR(INDEX('Intervals'!$B$4:$B$33,MATCH($B1000,'Intervals'!$A$4:$A$33,0)),""))</f>
        <v/>
      </c>
      <c r="D1000" s="17" t="n"/>
      <c r="E1000" s="18" t="n"/>
      <c r="F1000" s="19">
        <f>IF(OR($B1000="",$E1000=""),"",IFERROR(IF(AND(INDEX('Intervals'!$G$4:$G$33,MATCH($B1000,'Intervals'!$A$4:$A$33,0))&lt;&gt;"No",N(INDEX('Intervals'!$C$4:$C$33,MATCH($B1000,'Intervals'!$A$4:$A$33,0)))&gt;0),$E1000+N(INDEX('Intervals'!$C$4:$C$33,MATCH($B1000,'Intervals'!$A$4:$A$33,0))),""),""))</f>
        <v/>
      </c>
      <c r="G1000" s="20">
        <f>IF(OR($B1000="",$D1000=""),"",IFERROR(IF(AND(INDEX('Intervals'!$G$4:$G$33,MATCH($B1000,'Intervals'!$A$4:$A$33,0))&lt;&gt;"No",N(INDEX('Intervals'!$D$4:$D$33,MATCH($B1000,'Intervals'!$A$4:$A$33,0)))&gt;0),EDATE($D1000,N(INDEX('Intervals'!$D$4:$D$33,MATCH($B1000,'Intervals'!$A$4:$A$33,0)))),""),""))</f>
        <v/>
      </c>
      <c r="H1000" s="19">
        <f>IF($A1000="","",IFERROR(IF(N(INDEX('Cars'!$H$4:$H$103,MATCH($A1000,'Cars'!$A$4:$A$103,0)))&gt;0,INDEX('Cars'!$H$4:$H$103,MATCH($A1000,'Cars'!$A$4:$A$103,0)),""),""))</f>
        <v/>
      </c>
      <c r="I1000" s="19">
        <f>IF(OR($F1000="",$H1000=""),"",$F1000-$H1000)</f>
        <v/>
      </c>
      <c r="J1000" s="21">
        <f>IF($G1000="","",$G1000-TODAY())</f>
        <v/>
      </c>
      <c r="K1000" s="21">
        <f>IF($I1000="","",IFERROR(IF(N(INDEX('Cars'!$J$4:$J$103,MATCH($A1000,'Cars'!$A$4:$A$103,0)))&gt;0,ROUND($I1000/INDEX('Cars'!$J$4:$J$103,MATCH($A1000,'Cars'!$A$4:$A$103,0))*30,0),""),""))</f>
        <v/>
      </c>
      <c r="L1000" s="21">
        <f>IF(AND($J1000="",$K1000=""),"",MIN(IF($J1000="",99999,$J1000),IF($K1000="",99999,$K1000)))</f>
        <v/>
      </c>
      <c r="M1000" s="16">
        <f>IF(AND($I1000="",$J1000=""),"",IF(OR(AND($I1000&lt;&gt;"",N($I1000)&lt;0),AND($J1000&lt;&gt;"",N($J1000)&lt;0)),"Overdue",IF(OR(AND($I1000&lt;&gt;"",N($I1000)&lt;=IFERROR(INDEX('Intervals'!$E$4:$E$33,MATCH($B1000,'Intervals'!$A$4:$A$33,0)),500)),AND($J1000&lt;&gt;"",N($J1000)&lt;=IFERROR(INDEX('Intervals'!$F$4:$F$33,MATCH($B1000,'Intervals'!$A$4:$A$33,0)),14))),"Due soon","OK")))</f>
        <v/>
      </c>
      <c r="N1000" s="15" t="n"/>
      <c r="O1000" s="22">
        <f>IF(OR($M1000="",$M1000="OK"),"",$L1000+ROW()/100000)</f>
        <v/>
      </c>
    </row>
    <row r="1001">
      <c r="A1001" s="15" t="n"/>
      <c r="B1001" s="15" t="n"/>
      <c r="C1001" s="16">
        <f>IF($B1001="","",IFERROR(INDEX('Intervals'!$B$4:$B$33,MATCH($B1001,'Intervals'!$A$4:$A$33,0)),""))</f>
        <v/>
      </c>
      <c r="D1001" s="17" t="n"/>
      <c r="E1001" s="18" t="n"/>
      <c r="F1001" s="19">
        <f>IF(OR($B1001="",$E1001=""),"",IFERROR(IF(AND(INDEX('Intervals'!$G$4:$G$33,MATCH($B1001,'Intervals'!$A$4:$A$33,0))&lt;&gt;"No",N(INDEX('Intervals'!$C$4:$C$33,MATCH($B1001,'Intervals'!$A$4:$A$33,0)))&gt;0),$E1001+N(INDEX('Intervals'!$C$4:$C$33,MATCH($B1001,'Intervals'!$A$4:$A$33,0))),""),""))</f>
        <v/>
      </c>
      <c r="G1001" s="20">
        <f>IF(OR($B1001="",$D1001=""),"",IFERROR(IF(AND(INDEX('Intervals'!$G$4:$G$33,MATCH($B1001,'Intervals'!$A$4:$A$33,0))&lt;&gt;"No",N(INDEX('Intervals'!$D$4:$D$33,MATCH($B1001,'Intervals'!$A$4:$A$33,0)))&gt;0),EDATE($D1001,N(INDEX('Intervals'!$D$4:$D$33,MATCH($B1001,'Intervals'!$A$4:$A$33,0)))),""),""))</f>
        <v/>
      </c>
      <c r="H1001" s="19">
        <f>IF($A1001="","",IFERROR(IF(N(INDEX('Cars'!$H$4:$H$103,MATCH($A1001,'Cars'!$A$4:$A$103,0)))&gt;0,INDEX('Cars'!$H$4:$H$103,MATCH($A1001,'Cars'!$A$4:$A$103,0)),""),""))</f>
        <v/>
      </c>
      <c r="I1001" s="19">
        <f>IF(OR($F1001="",$H1001=""),"",$F1001-$H1001)</f>
        <v/>
      </c>
      <c r="J1001" s="21">
        <f>IF($G1001="","",$G1001-TODAY())</f>
        <v/>
      </c>
      <c r="K1001" s="21">
        <f>IF($I1001="","",IFERROR(IF(N(INDEX('Cars'!$J$4:$J$103,MATCH($A1001,'Cars'!$A$4:$A$103,0)))&gt;0,ROUND($I1001/INDEX('Cars'!$J$4:$J$103,MATCH($A1001,'Cars'!$A$4:$A$103,0))*30,0),""),""))</f>
        <v/>
      </c>
      <c r="L1001" s="21">
        <f>IF(AND($J1001="",$K1001=""),"",MIN(IF($J1001="",99999,$J1001),IF($K1001="",99999,$K1001)))</f>
        <v/>
      </c>
      <c r="M1001" s="16">
        <f>IF(AND($I1001="",$J1001=""),"",IF(OR(AND($I1001&lt;&gt;"",N($I1001)&lt;0),AND($J1001&lt;&gt;"",N($J1001)&lt;0)),"Overdue",IF(OR(AND($I1001&lt;&gt;"",N($I1001)&lt;=IFERROR(INDEX('Intervals'!$E$4:$E$33,MATCH($B1001,'Intervals'!$A$4:$A$33,0)),500)),AND($J1001&lt;&gt;"",N($J1001)&lt;=IFERROR(INDEX('Intervals'!$F$4:$F$33,MATCH($B1001,'Intervals'!$A$4:$A$33,0)),14))),"Due soon","OK")))</f>
        <v/>
      </c>
      <c r="N1001" s="15" t="n"/>
      <c r="O1001" s="22">
        <f>IF(OR($M1001="",$M1001="OK"),"",$L1001+ROW()/100000)</f>
        <v/>
      </c>
    </row>
    <row r="1002">
      <c r="A1002" s="15" t="n"/>
      <c r="B1002" s="15" t="n"/>
      <c r="C1002" s="16">
        <f>IF($B1002="","",IFERROR(INDEX('Intervals'!$B$4:$B$33,MATCH($B1002,'Intervals'!$A$4:$A$33,0)),""))</f>
        <v/>
      </c>
      <c r="D1002" s="17" t="n"/>
      <c r="E1002" s="18" t="n"/>
      <c r="F1002" s="19">
        <f>IF(OR($B1002="",$E1002=""),"",IFERROR(IF(AND(INDEX('Intervals'!$G$4:$G$33,MATCH($B1002,'Intervals'!$A$4:$A$33,0))&lt;&gt;"No",N(INDEX('Intervals'!$C$4:$C$33,MATCH($B1002,'Intervals'!$A$4:$A$33,0)))&gt;0),$E1002+N(INDEX('Intervals'!$C$4:$C$33,MATCH($B1002,'Intervals'!$A$4:$A$33,0))),""),""))</f>
        <v/>
      </c>
      <c r="G1002" s="20">
        <f>IF(OR($B1002="",$D1002=""),"",IFERROR(IF(AND(INDEX('Intervals'!$G$4:$G$33,MATCH($B1002,'Intervals'!$A$4:$A$33,0))&lt;&gt;"No",N(INDEX('Intervals'!$D$4:$D$33,MATCH($B1002,'Intervals'!$A$4:$A$33,0)))&gt;0),EDATE($D1002,N(INDEX('Intervals'!$D$4:$D$33,MATCH($B1002,'Intervals'!$A$4:$A$33,0)))),""),""))</f>
        <v/>
      </c>
      <c r="H1002" s="19">
        <f>IF($A1002="","",IFERROR(IF(N(INDEX('Cars'!$H$4:$H$103,MATCH($A1002,'Cars'!$A$4:$A$103,0)))&gt;0,INDEX('Cars'!$H$4:$H$103,MATCH($A1002,'Cars'!$A$4:$A$103,0)),""),""))</f>
        <v/>
      </c>
      <c r="I1002" s="19">
        <f>IF(OR($F1002="",$H1002=""),"",$F1002-$H1002)</f>
        <v/>
      </c>
      <c r="J1002" s="21">
        <f>IF($G1002="","",$G1002-TODAY())</f>
        <v/>
      </c>
      <c r="K1002" s="21">
        <f>IF($I1002="","",IFERROR(IF(N(INDEX('Cars'!$J$4:$J$103,MATCH($A1002,'Cars'!$A$4:$A$103,0)))&gt;0,ROUND($I1002/INDEX('Cars'!$J$4:$J$103,MATCH($A1002,'Cars'!$A$4:$A$103,0))*30,0),""),""))</f>
        <v/>
      </c>
      <c r="L1002" s="21">
        <f>IF(AND($J1002="",$K1002=""),"",MIN(IF($J1002="",99999,$J1002),IF($K1002="",99999,$K1002)))</f>
        <v/>
      </c>
      <c r="M1002" s="16">
        <f>IF(AND($I1002="",$J1002=""),"",IF(OR(AND($I1002&lt;&gt;"",N($I1002)&lt;0),AND($J1002&lt;&gt;"",N($J1002)&lt;0)),"Overdue",IF(OR(AND($I1002&lt;&gt;"",N($I1002)&lt;=IFERROR(INDEX('Intervals'!$E$4:$E$33,MATCH($B1002,'Intervals'!$A$4:$A$33,0)),500)),AND($J1002&lt;&gt;"",N($J1002)&lt;=IFERROR(INDEX('Intervals'!$F$4:$F$33,MATCH($B1002,'Intervals'!$A$4:$A$33,0)),14))),"Due soon","OK")))</f>
        <v/>
      </c>
      <c r="N1002" s="15" t="n"/>
      <c r="O1002" s="22">
        <f>IF(OR($M1002="",$M1002="OK"),"",$L1002+ROW()/100000)</f>
        <v/>
      </c>
    </row>
    <row r="1003">
      <c r="A1003" s="15" t="n"/>
      <c r="B1003" s="15" t="n"/>
      <c r="C1003" s="16">
        <f>IF($B1003="","",IFERROR(INDEX('Intervals'!$B$4:$B$33,MATCH($B1003,'Intervals'!$A$4:$A$33,0)),""))</f>
        <v/>
      </c>
      <c r="D1003" s="17" t="n"/>
      <c r="E1003" s="18" t="n"/>
      <c r="F1003" s="19">
        <f>IF(OR($B1003="",$E1003=""),"",IFERROR(IF(AND(INDEX('Intervals'!$G$4:$G$33,MATCH($B1003,'Intervals'!$A$4:$A$33,0))&lt;&gt;"No",N(INDEX('Intervals'!$C$4:$C$33,MATCH($B1003,'Intervals'!$A$4:$A$33,0)))&gt;0),$E1003+N(INDEX('Intervals'!$C$4:$C$33,MATCH($B1003,'Intervals'!$A$4:$A$33,0))),""),""))</f>
        <v/>
      </c>
      <c r="G1003" s="20">
        <f>IF(OR($B1003="",$D1003=""),"",IFERROR(IF(AND(INDEX('Intervals'!$G$4:$G$33,MATCH($B1003,'Intervals'!$A$4:$A$33,0))&lt;&gt;"No",N(INDEX('Intervals'!$D$4:$D$33,MATCH($B1003,'Intervals'!$A$4:$A$33,0)))&gt;0),EDATE($D1003,N(INDEX('Intervals'!$D$4:$D$33,MATCH($B1003,'Intervals'!$A$4:$A$33,0)))),""),""))</f>
        <v/>
      </c>
      <c r="H1003" s="19">
        <f>IF($A1003="","",IFERROR(IF(N(INDEX('Cars'!$H$4:$H$103,MATCH($A1003,'Cars'!$A$4:$A$103,0)))&gt;0,INDEX('Cars'!$H$4:$H$103,MATCH($A1003,'Cars'!$A$4:$A$103,0)),""),""))</f>
        <v/>
      </c>
      <c r="I1003" s="19">
        <f>IF(OR($F1003="",$H1003=""),"",$F1003-$H1003)</f>
        <v/>
      </c>
      <c r="J1003" s="21">
        <f>IF($G1003="","",$G1003-TODAY())</f>
        <v/>
      </c>
      <c r="K1003" s="21">
        <f>IF($I1003="","",IFERROR(IF(N(INDEX('Cars'!$J$4:$J$103,MATCH($A1003,'Cars'!$A$4:$A$103,0)))&gt;0,ROUND($I1003/INDEX('Cars'!$J$4:$J$103,MATCH($A1003,'Cars'!$A$4:$A$103,0))*30,0),""),""))</f>
        <v/>
      </c>
      <c r="L1003" s="21">
        <f>IF(AND($J1003="",$K1003=""),"",MIN(IF($J1003="",99999,$J1003),IF($K1003="",99999,$K1003)))</f>
        <v/>
      </c>
      <c r="M1003" s="16">
        <f>IF(AND($I1003="",$J1003=""),"",IF(OR(AND($I1003&lt;&gt;"",N($I1003)&lt;0),AND($J1003&lt;&gt;"",N($J1003)&lt;0)),"Overdue",IF(OR(AND($I1003&lt;&gt;"",N($I1003)&lt;=IFERROR(INDEX('Intervals'!$E$4:$E$33,MATCH($B1003,'Intervals'!$A$4:$A$33,0)),500)),AND($J1003&lt;&gt;"",N($J1003)&lt;=IFERROR(INDEX('Intervals'!$F$4:$F$33,MATCH($B1003,'Intervals'!$A$4:$A$33,0)),14))),"Due soon","OK")))</f>
        <v/>
      </c>
      <c r="N1003" s="15" t="n"/>
      <c r="O1003" s="22">
        <f>IF(OR($M1003="",$M1003="OK"),"",$L1003+ROW()/100000)</f>
        <v/>
      </c>
    </row>
  </sheetData>
  <autoFilter ref="A3:N1003"/>
  <mergeCells count="1">
    <mergeCell ref="A2:N2"/>
  </mergeCells>
  <conditionalFormatting sqref="A4:N1003">
    <cfRule type="expression" priority="1" dxfId="0">
      <formula>$M4="Overdue"</formula>
    </cfRule>
    <cfRule type="expression" priority="2" dxfId="1">
      <formula>$M4="Due soon"</formula>
    </cfRule>
  </conditionalFormatting>
  <dataValidations count="4">
    <dataValidation sqref="A4:A1003" showDropDown="0" showInputMessage="0" showErrorMessage="1" allowBlank="1" errorTitle="Sayarti+" error="Choose from the list" type="list">
      <formula1>CarIDs</formula1>
    </dataValidation>
    <dataValidation sqref="B4:B1003" showDropDown="0" showInputMessage="0" showErrorMessage="1" allowBlank="1" errorTitle="Sayarti+" error="Choose from the list" type="list">
      <formula1>ItemIDs</formula1>
    </dataValidation>
    <dataValidation sqref="D4:D1003" showDropDown="0" showInputMessage="0" showErrorMessage="1" allowBlank="1" error="Enter a valid date" type="date" operator="greaterThan">
      <formula1>36526</formula1>
    </dataValidation>
    <dataValidation sqref="E4:E1003" showDropDown="0" showInputMessage="0" showErrorMessage="1" allowBlank="1" error="Enter a number" type="decimal" operator="greaterThanOrEqual">
      <formula1>0</formula1>
    </dataValidation>
  </dataValidations>
  <printOptions horizontalCentered="1"/>
  <pageMargins left="0.5" right="0.5" top="0.6" bottom="0.7" header="0.5" footer="0.5"/>
  <pageSetup orientation="landscape" paperSize="9" fitToHeight="0" fitToWidth="1"/>
  <headerFooter>
    <oddHeader/>
    <oddFooter>&amp;C&amp;"Arial"&amp;8 From Sayarti+ — sayartiplus.com · Not affiliated with any government entity&amp;R&amp;8 &amp;P /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L203"/>
  <sheetViews>
    <sheetView showGridLines="0" rightToLeft="0" tabSelected="0" zoomScale="110" workbookViewId="0">
      <pane ySplit="3" topLeftCell="A4" activePane="bottomLeft" state="frozen"/>
      <selection pane="bottomLeft" activeCell="A1" sqref="A1"/>
    </sheetView>
  </sheetViews>
  <sheetFormatPr baseColWidth="8" defaultRowHeight="15"/>
  <cols>
    <col width="5" customWidth="1" min="1" max="1"/>
    <col width="11" customWidth="1" min="2" max="2"/>
    <col width="14" customWidth="1" min="3" max="3"/>
    <col width="30" customWidth="1" min="4" max="4"/>
    <col width="13" customWidth="1" min="5" max="5"/>
    <col width="14" customWidth="1" min="6" max="6"/>
    <col width="12" customWidth="1" min="7" max="7"/>
    <col width="11" customWidth="1" min="8" max="8"/>
    <col width="11" customWidth="1" min="9" max="9"/>
    <col width="9" customWidth="1" min="10" max="10"/>
    <col width="24" customWidth="1" min="11" max="11"/>
    <col hidden="1" width="6" customWidth="1" min="12" max="12"/>
  </cols>
  <sheetData>
    <row r="1" ht="30" customHeight="1">
      <c r="A1" s="1" t="inlineStr">
        <is>
          <t>Fleet maintenance schedule · This month</t>
        </is>
      </c>
      <c r="B1" s="2" t="n"/>
      <c r="C1" s="2" t="n"/>
      <c r="D1" s="2" t="n"/>
      <c r="E1" s="2" t="n"/>
      <c r="F1" s="2" t="n"/>
      <c r="G1" s="2" t="n"/>
      <c r="H1" s="2" t="n"/>
      <c r="I1" s="2" t="n"/>
      <c r="J1" s="2" t="n"/>
      <c r="K1" s="3" t="inlineStr">
        <is>
          <t>From Sayarti+ — sayartiplus.com</t>
        </is>
      </c>
    </row>
    <row r="2" ht="30" customHeight="1">
      <c r="A2" s="4" t="inlineStr">
        <is>
          <t>An automatic list of every item that is “Overdue” or “Due soon”, most urgent first. Print it for the workshop. Don't type in this sheet.</t>
        </is>
      </c>
    </row>
    <row r="3" ht="34" customHeight="1">
      <c r="A3" s="6" t="inlineStr">
        <is>
          <t>#</t>
        </is>
      </c>
      <c r="B3" s="6" t="inlineStr">
        <is>
          <t>Car ID</t>
        </is>
      </c>
      <c r="C3" s="6" t="inlineStr">
        <is>
          <t>Plate</t>
        </is>
      </c>
      <c r="D3" s="6" t="inlineStr">
        <is>
          <t>Item</t>
        </is>
      </c>
      <c r="E3" s="6" t="inlineStr">
        <is>
          <t>Next due (km)</t>
        </is>
      </c>
      <c r="F3" s="6" t="inlineStr">
        <is>
          <t>Next due (date)</t>
        </is>
      </c>
      <c r="G3" s="6" t="inlineStr">
        <is>
          <t>Km left</t>
        </is>
      </c>
      <c r="H3" s="6" t="inlineStr">
        <is>
          <t>Days left</t>
        </is>
      </c>
      <c r="I3" s="6" t="inlineStr">
        <is>
          <t>Status</t>
        </is>
      </c>
      <c r="J3" s="5" t="inlineStr">
        <is>
          <t>Done ✓</t>
        </is>
      </c>
      <c r="K3" s="5" t="inlineStr">
        <is>
          <t>Workshop and amount</t>
        </is>
      </c>
    </row>
    <row r="4">
      <c r="A4" s="16">
        <f>IF($L4="","",1)</f>
        <v/>
      </c>
      <c r="B4" s="16">
        <f>IF($L4="","",IF(INDEX('Schedule'!$A$4:$A$1003,$L4)="","",INDEX('Schedule'!$A$4:$A$1003,$L4)))</f>
        <v/>
      </c>
      <c r="C4" s="16">
        <f>IF($B4="","",IFERROR(INDEX('Cars'!$F$4:$F$103,MATCH($B4,'Cars'!$A$4:$A$103,0))&amp;"",""))</f>
        <v/>
      </c>
      <c r="D4" s="16">
        <f>IF($L4="","",IF(INDEX('Schedule'!$C$4:$C$1003,$L4)="","",INDEX('Schedule'!$C$4:$C$1003,$L4)))</f>
        <v/>
      </c>
      <c r="E4" s="19">
        <f>IF($L4="","",IF(INDEX('Schedule'!$F$4:$F$1003,$L4)="","",INDEX('Schedule'!$F$4:$F$1003,$L4)))</f>
        <v/>
      </c>
      <c r="F4" s="20">
        <f>IF($L4="","",IF(INDEX('Schedule'!$G$4:$G$1003,$L4)="","",INDEX('Schedule'!$G$4:$G$1003,$L4)))</f>
        <v/>
      </c>
      <c r="G4" s="19">
        <f>IF($L4="","",IF(INDEX('Schedule'!$I$4:$I$1003,$L4)="","",INDEX('Schedule'!$I$4:$I$1003,$L4)))</f>
        <v/>
      </c>
      <c r="H4" s="21">
        <f>IF($L4="","",IF(INDEX('Schedule'!$J$4:$J$1003,$L4)="","",INDEX('Schedule'!$J$4:$J$1003,$L4)))</f>
        <v/>
      </c>
      <c r="I4" s="16">
        <f>IF($L4="","",IF(INDEX('Schedule'!$M$4:$M$1003,$L4)="","",INDEX('Schedule'!$M$4:$M$1003,$L4)))</f>
        <v/>
      </c>
      <c r="J4" s="15" t="n"/>
      <c r="K4" s="15" t="n"/>
      <c r="L4">
        <f>IFERROR(MATCH(SMALL('Schedule'!$O$4:$O$1003,1),'Schedule'!$O$4:$O$1003,0),"")</f>
        <v/>
      </c>
    </row>
    <row r="5">
      <c r="A5" s="16">
        <f>IF($L5="","",2)</f>
        <v/>
      </c>
      <c r="B5" s="16">
        <f>IF($L5="","",IF(INDEX('Schedule'!$A$4:$A$1003,$L5)="","",INDEX('Schedule'!$A$4:$A$1003,$L5)))</f>
        <v/>
      </c>
      <c r="C5" s="16">
        <f>IF($B5="","",IFERROR(INDEX('Cars'!$F$4:$F$103,MATCH($B5,'Cars'!$A$4:$A$103,0))&amp;"",""))</f>
        <v/>
      </c>
      <c r="D5" s="16">
        <f>IF($L5="","",IF(INDEX('Schedule'!$C$4:$C$1003,$L5)="","",INDEX('Schedule'!$C$4:$C$1003,$L5)))</f>
        <v/>
      </c>
      <c r="E5" s="19">
        <f>IF($L5="","",IF(INDEX('Schedule'!$F$4:$F$1003,$L5)="","",INDEX('Schedule'!$F$4:$F$1003,$L5)))</f>
        <v/>
      </c>
      <c r="F5" s="20">
        <f>IF($L5="","",IF(INDEX('Schedule'!$G$4:$G$1003,$L5)="","",INDEX('Schedule'!$G$4:$G$1003,$L5)))</f>
        <v/>
      </c>
      <c r="G5" s="19">
        <f>IF($L5="","",IF(INDEX('Schedule'!$I$4:$I$1003,$L5)="","",INDEX('Schedule'!$I$4:$I$1003,$L5)))</f>
        <v/>
      </c>
      <c r="H5" s="21">
        <f>IF($L5="","",IF(INDEX('Schedule'!$J$4:$J$1003,$L5)="","",INDEX('Schedule'!$J$4:$J$1003,$L5)))</f>
        <v/>
      </c>
      <c r="I5" s="16">
        <f>IF($L5="","",IF(INDEX('Schedule'!$M$4:$M$1003,$L5)="","",INDEX('Schedule'!$M$4:$M$1003,$L5)))</f>
        <v/>
      </c>
      <c r="J5" s="15" t="n"/>
      <c r="K5" s="15" t="n"/>
      <c r="L5">
        <f>IFERROR(MATCH(SMALL('Schedule'!$O$4:$O$1003,2),'Schedule'!$O$4:$O$1003,0),"")</f>
        <v/>
      </c>
    </row>
    <row r="6">
      <c r="A6" s="16">
        <f>IF($L6="","",3)</f>
        <v/>
      </c>
      <c r="B6" s="16">
        <f>IF($L6="","",IF(INDEX('Schedule'!$A$4:$A$1003,$L6)="","",INDEX('Schedule'!$A$4:$A$1003,$L6)))</f>
        <v/>
      </c>
      <c r="C6" s="16">
        <f>IF($B6="","",IFERROR(INDEX('Cars'!$F$4:$F$103,MATCH($B6,'Cars'!$A$4:$A$103,0))&amp;"",""))</f>
        <v/>
      </c>
      <c r="D6" s="16">
        <f>IF($L6="","",IF(INDEX('Schedule'!$C$4:$C$1003,$L6)="","",INDEX('Schedule'!$C$4:$C$1003,$L6)))</f>
        <v/>
      </c>
      <c r="E6" s="19">
        <f>IF($L6="","",IF(INDEX('Schedule'!$F$4:$F$1003,$L6)="","",INDEX('Schedule'!$F$4:$F$1003,$L6)))</f>
        <v/>
      </c>
      <c r="F6" s="20">
        <f>IF($L6="","",IF(INDEX('Schedule'!$G$4:$G$1003,$L6)="","",INDEX('Schedule'!$G$4:$G$1003,$L6)))</f>
        <v/>
      </c>
      <c r="G6" s="19">
        <f>IF($L6="","",IF(INDEX('Schedule'!$I$4:$I$1003,$L6)="","",INDEX('Schedule'!$I$4:$I$1003,$L6)))</f>
        <v/>
      </c>
      <c r="H6" s="21">
        <f>IF($L6="","",IF(INDEX('Schedule'!$J$4:$J$1003,$L6)="","",INDEX('Schedule'!$J$4:$J$1003,$L6)))</f>
        <v/>
      </c>
      <c r="I6" s="16">
        <f>IF($L6="","",IF(INDEX('Schedule'!$M$4:$M$1003,$L6)="","",INDEX('Schedule'!$M$4:$M$1003,$L6)))</f>
        <v/>
      </c>
      <c r="J6" s="15" t="n"/>
      <c r="K6" s="15" t="n"/>
      <c r="L6">
        <f>IFERROR(MATCH(SMALL('Schedule'!$O$4:$O$1003,3),'Schedule'!$O$4:$O$1003,0),"")</f>
        <v/>
      </c>
    </row>
    <row r="7">
      <c r="A7" s="16">
        <f>IF($L7="","",4)</f>
        <v/>
      </c>
      <c r="B7" s="16">
        <f>IF($L7="","",IF(INDEX('Schedule'!$A$4:$A$1003,$L7)="","",INDEX('Schedule'!$A$4:$A$1003,$L7)))</f>
        <v/>
      </c>
      <c r="C7" s="16">
        <f>IF($B7="","",IFERROR(INDEX('Cars'!$F$4:$F$103,MATCH($B7,'Cars'!$A$4:$A$103,0))&amp;"",""))</f>
        <v/>
      </c>
      <c r="D7" s="16">
        <f>IF($L7="","",IF(INDEX('Schedule'!$C$4:$C$1003,$L7)="","",INDEX('Schedule'!$C$4:$C$1003,$L7)))</f>
        <v/>
      </c>
      <c r="E7" s="19">
        <f>IF($L7="","",IF(INDEX('Schedule'!$F$4:$F$1003,$L7)="","",INDEX('Schedule'!$F$4:$F$1003,$L7)))</f>
        <v/>
      </c>
      <c r="F7" s="20">
        <f>IF($L7="","",IF(INDEX('Schedule'!$G$4:$G$1003,$L7)="","",INDEX('Schedule'!$G$4:$G$1003,$L7)))</f>
        <v/>
      </c>
      <c r="G7" s="19">
        <f>IF($L7="","",IF(INDEX('Schedule'!$I$4:$I$1003,$L7)="","",INDEX('Schedule'!$I$4:$I$1003,$L7)))</f>
        <v/>
      </c>
      <c r="H7" s="21">
        <f>IF($L7="","",IF(INDEX('Schedule'!$J$4:$J$1003,$L7)="","",INDEX('Schedule'!$J$4:$J$1003,$L7)))</f>
        <v/>
      </c>
      <c r="I7" s="16">
        <f>IF($L7="","",IF(INDEX('Schedule'!$M$4:$M$1003,$L7)="","",INDEX('Schedule'!$M$4:$M$1003,$L7)))</f>
        <v/>
      </c>
      <c r="J7" s="15" t="n"/>
      <c r="K7" s="15" t="n"/>
      <c r="L7">
        <f>IFERROR(MATCH(SMALL('Schedule'!$O$4:$O$1003,4),'Schedule'!$O$4:$O$1003,0),"")</f>
        <v/>
      </c>
    </row>
    <row r="8">
      <c r="A8" s="16">
        <f>IF($L8="","",5)</f>
        <v/>
      </c>
      <c r="B8" s="16">
        <f>IF($L8="","",IF(INDEX('Schedule'!$A$4:$A$1003,$L8)="","",INDEX('Schedule'!$A$4:$A$1003,$L8)))</f>
        <v/>
      </c>
      <c r="C8" s="16">
        <f>IF($B8="","",IFERROR(INDEX('Cars'!$F$4:$F$103,MATCH($B8,'Cars'!$A$4:$A$103,0))&amp;"",""))</f>
        <v/>
      </c>
      <c r="D8" s="16">
        <f>IF($L8="","",IF(INDEX('Schedule'!$C$4:$C$1003,$L8)="","",INDEX('Schedule'!$C$4:$C$1003,$L8)))</f>
        <v/>
      </c>
      <c r="E8" s="19">
        <f>IF($L8="","",IF(INDEX('Schedule'!$F$4:$F$1003,$L8)="","",INDEX('Schedule'!$F$4:$F$1003,$L8)))</f>
        <v/>
      </c>
      <c r="F8" s="20">
        <f>IF($L8="","",IF(INDEX('Schedule'!$G$4:$G$1003,$L8)="","",INDEX('Schedule'!$G$4:$G$1003,$L8)))</f>
        <v/>
      </c>
      <c r="G8" s="19">
        <f>IF($L8="","",IF(INDEX('Schedule'!$I$4:$I$1003,$L8)="","",INDEX('Schedule'!$I$4:$I$1003,$L8)))</f>
        <v/>
      </c>
      <c r="H8" s="21">
        <f>IF($L8="","",IF(INDEX('Schedule'!$J$4:$J$1003,$L8)="","",INDEX('Schedule'!$J$4:$J$1003,$L8)))</f>
        <v/>
      </c>
      <c r="I8" s="16">
        <f>IF($L8="","",IF(INDEX('Schedule'!$M$4:$M$1003,$L8)="","",INDEX('Schedule'!$M$4:$M$1003,$L8)))</f>
        <v/>
      </c>
      <c r="J8" s="15" t="n"/>
      <c r="K8" s="15" t="n"/>
      <c r="L8">
        <f>IFERROR(MATCH(SMALL('Schedule'!$O$4:$O$1003,5),'Schedule'!$O$4:$O$1003,0),"")</f>
        <v/>
      </c>
    </row>
    <row r="9">
      <c r="A9" s="16">
        <f>IF($L9="","",6)</f>
        <v/>
      </c>
      <c r="B9" s="16">
        <f>IF($L9="","",IF(INDEX('Schedule'!$A$4:$A$1003,$L9)="","",INDEX('Schedule'!$A$4:$A$1003,$L9)))</f>
        <v/>
      </c>
      <c r="C9" s="16">
        <f>IF($B9="","",IFERROR(INDEX('Cars'!$F$4:$F$103,MATCH($B9,'Cars'!$A$4:$A$103,0))&amp;"",""))</f>
        <v/>
      </c>
      <c r="D9" s="16">
        <f>IF($L9="","",IF(INDEX('Schedule'!$C$4:$C$1003,$L9)="","",INDEX('Schedule'!$C$4:$C$1003,$L9)))</f>
        <v/>
      </c>
      <c r="E9" s="19">
        <f>IF($L9="","",IF(INDEX('Schedule'!$F$4:$F$1003,$L9)="","",INDEX('Schedule'!$F$4:$F$1003,$L9)))</f>
        <v/>
      </c>
      <c r="F9" s="20">
        <f>IF($L9="","",IF(INDEX('Schedule'!$G$4:$G$1003,$L9)="","",INDEX('Schedule'!$G$4:$G$1003,$L9)))</f>
        <v/>
      </c>
      <c r="G9" s="19">
        <f>IF($L9="","",IF(INDEX('Schedule'!$I$4:$I$1003,$L9)="","",INDEX('Schedule'!$I$4:$I$1003,$L9)))</f>
        <v/>
      </c>
      <c r="H9" s="21">
        <f>IF($L9="","",IF(INDEX('Schedule'!$J$4:$J$1003,$L9)="","",INDEX('Schedule'!$J$4:$J$1003,$L9)))</f>
        <v/>
      </c>
      <c r="I9" s="16">
        <f>IF($L9="","",IF(INDEX('Schedule'!$M$4:$M$1003,$L9)="","",INDEX('Schedule'!$M$4:$M$1003,$L9)))</f>
        <v/>
      </c>
      <c r="J9" s="15" t="n"/>
      <c r="K9" s="15" t="n"/>
      <c r="L9">
        <f>IFERROR(MATCH(SMALL('Schedule'!$O$4:$O$1003,6),'Schedule'!$O$4:$O$1003,0),"")</f>
        <v/>
      </c>
    </row>
    <row r="10">
      <c r="A10" s="16">
        <f>IF($L10="","",7)</f>
        <v/>
      </c>
      <c r="B10" s="16">
        <f>IF($L10="","",IF(INDEX('Schedule'!$A$4:$A$1003,$L10)="","",INDEX('Schedule'!$A$4:$A$1003,$L10)))</f>
        <v/>
      </c>
      <c r="C10" s="16">
        <f>IF($B10="","",IFERROR(INDEX('Cars'!$F$4:$F$103,MATCH($B10,'Cars'!$A$4:$A$103,0))&amp;"",""))</f>
        <v/>
      </c>
      <c r="D10" s="16">
        <f>IF($L10="","",IF(INDEX('Schedule'!$C$4:$C$1003,$L10)="","",INDEX('Schedule'!$C$4:$C$1003,$L10)))</f>
        <v/>
      </c>
      <c r="E10" s="19">
        <f>IF($L10="","",IF(INDEX('Schedule'!$F$4:$F$1003,$L10)="","",INDEX('Schedule'!$F$4:$F$1003,$L10)))</f>
        <v/>
      </c>
      <c r="F10" s="20">
        <f>IF($L10="","",IF(INDEX('Schedule'!$G$4:$G$1003,$L10)="","",INDEX('Schedule'!$G$4:$G$1003,$L10)))</f>
        <v/>
      </c>
      <c r="G10" s="19">
        <f>IF($L10="","",IF(INDEX('Schedule'!$I$4:$I$1003,$L10)="","",INDEX('Schedule'!$I$4:$I$1003,$L10)))</f>
        <v/>
      </c>
      <c r="H10" s="21">
        <f>IF($L10="","",IF(INDEX('Schedule'!$J$4:$J$1003,$L10)="","",INDEX('Schedule'!$J$4:$J$1003,$L10)))</f>
        <v/>
      </c>
      <c r="I10" s="16">
        <f>IF($L10="","",IF(INDEX('Schedule'!$M$4:$M$1003,$L10)="","",INDEX('Schedule'!$M$4:$M$1003,$L10)))</f>
        <v/>
      </c>
      <c r="J10" s="15" t="n"/>
      <c r="K10" s="15" t="n"/>
      <c r="L10">
        <f>IFERROR(MATCH(SMALL('Schedule'!$O$4:$O$1003,7),'Schedule'!$O$4:$O$1003,0),"")</f>
        <v/>
      </c>
    </row>
    <row r="11">
      <c r="A11" s="16">
        <f>IF($L11="","",8)</f>
        <v/>
      </c>
      <c r="B11" s="16">
        <f>IF($L11="","",IF(INDEX('Schedule'!$A$4:$A$1003,$L11)="","",INDEX('Schedule'!$A$4:$A$1003,$L11)))</f>
        <v/>
      </c>
      <c r="C11" s="16">
        <f>IF($B11="","",IFERROR(INDEX('Cars'!$F$4:$F$103,MATCH($B11,'Cars'!$A$4:$A$103,0))&amp;"",""))</f>
        <v/>
      </c>
      <c r="D11" s="16">
        <f>IF($L11="","",IF(INDEX('Schedule'!$C$4:$C$1003,$L11)="","",INDEX('Schedule'!$C$4:$C$1003,$L11)))</f>
        <v/>
      </c>
      <c r="E11" s="19">
        <f>IF($L11="","",IF(INDEX('Schedule'!$F$4:$F$1003,$L11)="","",INDEX('Schedule'!$F$4:$F$1003,$L11)))</f>
        <v/>
      </c>
      <c r="F11" s="20">
        <f>IF($L11="","",IF(INDEX('Schedule'!$G$4:$G$1003,$L11)="","",INDEX('Schedule'!$G$4:$G$1003,$L11)))</f>
        <v/>
      </c>
      <c r="G11" s="19">
        <f>IF($L11="","",IF(INDEX('Schedule'!$I$4:$I$1003,$L11)="","",INDEX('Schedule'!$I$4:$I$1003,$L11)))</f>
        <v/>
      </c>
      <c r="H11" s="21">
        <f>IF($L11="","",IF(INDEX('Schedule'!$J$4:$J$1003,$L11)="","",INDEX('Schedule'!$J$4:$J$1003,$L11)))</f>
        <v/>
      </c>
      <c r="I11" s="16">
        <f>IF($L11="","",IF(INDEX('Schedule'!$M$4:$M$1003,$L11)="","",INDEX('Schedule'!$M$4:$M$1003,$L11)))</f>
        <v/>
      </c>
      <c r="J11" s="15" t="n"/>
      <c r="K11" s="15" t="n"/>
      <c r="L11">
        <f>IFERROR(MATCH(SMALL('Schedule'!$O$4:$O$1003,8),'Schedule'!$O$4:$O$1003,0),"")</f>
        <v/>
      </c>
    </row>
    <row r="12">
      <c r="A12" s="16">
        <f>IF($L12="","",9)</f>
        <v/>
      </c>
      <c r="B12" s="16">
        <f>IF($L12="","",IF(INDEX('Schedule'!$A$4:$A$1003,$L12)="","",INDEX('Schedule'!$A$4:$A$1003,$L12)))</f>
        <v/>
      </c>
      <c r="C12" s="16">
        <f>IF($B12="","",IFERROR(INDEX('Cars'!$F$4:$F$103,MATCH($B12,'Cars'!$A$4:$A$103,0))&amp;"",""))</f>
        <v/>
      </c>
      <c r="D12" s="16">
        <f>IF($L12="","",IF(INDEX('Schedule'!$C$4:$C$1003,$L12)="","",INDEX('Schedule'!$C$4:$C$1003,$L12)))</f>
        <v/>
      </c>
      <c r="E12" s="19">
        <f>IF($L12="","",IF(INDEX('Schedule'!$F$4:$F$1003,$L12)="","",INDEX('Schedule'!$F$4:$F$1003,$L12)))</f>
        <v/>
      </c>
      <c r="F12" s="20">
        <f>IF($L12="","",IF(INDEX('Schedule'!$G$4:$G$1003,$L12)="","",INDEX('Schedule'!$G$4:$G$1003,$L12)))</f>
        <v/>
      </c>
      <c r="G12" s="19">
        <f>IF($L12="","",IF(INDEX('Schedule'!$I$4:$I$1003,$L12)="","",INDEX('Schedule'!$I$4:$I$1003,$L12)))</f>
        <v/>
      </c>
      <c r="H12" s="21">
        <f>IF($L12="","",IF(INDEX('Schedule'!$J$4:$J$1003,$L12)="","",INDEX('Schedule'!$J$4:$J$1003,$L12)))</f>
        <v/>
      </c>
      <c r="I12" s="16">
        <f>IF($L12="","",IF(INDEX('Schedule'!$M$4:$M$1003,$L12)="","",INDEX('Schedule'!$M$4:$M$1003,$L12)))</f>
        <v/>
      </c>
      <c r="J12" s="15" t="n"/>
      <c r="K12" s="15" t="n"/>
      <c r="L12">
        <f>IFERROR(MATCH(SMALL('Schedule'!$O$4:$O$1003,9),'Schedule'!$O$4:$O$1003,0),"")</f>
        <v/>
      </c>
    </row>
    <row r="13">
      <c r="A13" s="16">
        <f>IF($L13="","",10)</f>
        <v/>
      </c>
      <c r="B13" s="16">
        <f>IF($L13="","",IF(INDEX('Schedule'!$A$4:$A$1003,$L13)="","",INDEX('Schedule'!$A$4:$A$1003,$L13)))</f>
        <v/>
      </c>
      <c r="C13" s="16">
        <f>IF($B13="","",IFERROR(INDEX('Cars'!$F$4:$F$103,MATCH($B13,'Cars'!$A$4:$A$103,0))&amp;"",""))</f>
        <v/>
      </c>
      <c r="D13" s="16">
        <f>IF($L13="","",IF(INDEX('Schedule'!$C$4:$C$1003,$L13)="","",INDEX('Schedule'!$C$4:$C$1003,$L13)))</f>
        <v/>
      </c>
      <c r="E13" s="19">
        <f>IF($L13="","",IF(INDEX('Schedule'!$F$4:$F$1003,$L13)="","",INDEX('Schedule'!$F$4:$F$1003,$L13)))</f>
        <v/>
      </c>
      <c r="F13" s="20">
        <f>IF($L13="","",IF(INDEX('Schedule'!$G$4:$G$1003,$L13)="","",INDEX('Schedule'!$G$4:$G$1003,$L13)))</f>
        <v/>
      </c>
      <c r="G13" s="19">
        <f>IF($L13="","",IF(INDEX('Schedule'!$I$4:$I$1003,$L13)="","",INDEX('Schedule'!$I$4:$I$1003,$L13)))</f>
        <v/>
      </c>
      <c r="H13" s="21">
        <f>IF($L13="","",IF(INDEX('Schedule'!$J$4:$J$1003,$L13)="","",INDEX('Schedule'!$J$4:$J$1003,$L13)))</f>
        <v/>
      </c>
      <c r="I13" s="16">
        <f>IF($L13="","",IF(INDEX('Schedule'!$M$4:$M$1003,$L13)="","",INDEX('Schedule'!$M$4:$M$1003,$L13)))</f>
        <v/>
      </c>
      <c r="J13" s="15" t="n"/>
      <c r="K13" s="15" t="n"/>
      <c r="L13">
        <f>IFERROR(MATCH(SMALL('Schedule'!$O$4:$O$1003,10),'Schedule'!$O$4:$O$1003,0),"")</f>
        <v/>
      </c>
    </row>
    <row r="14">
      <c r="A14" s="16">
        <f>IF($L14="","",11)</f>
        <v/>
      </c>
      <c r="B14" s="16">
        <f>IF($L14="","",IF(INDEX('Schedule'!$A$4:$A$1003,$L14)="","",INDEX('Schedule'!$A$4:$A$1003,$L14)))</f>
        <v/>
      </c>
      <c r="C14" s="16">
        <f>IF($B14="","",IFERROR(INDEX('Cars'!$F$4:$F$103,MATCH($B14,'Cars'!$A$4:$A$103,0))&amp;"",""))</f>
        <v/>
      </c>
      <c r="D14" s="16">
        <f>IF($L14="","",IF(INDEX('Schedule'!$C$4:$C$1003,$L14)="","",INDEX('Schedule'!$C$4:$C$1003,$L14)))</f>
        <v/>
      </c>
      <c r="E14" s="19">
        <f>IF($L14="","",IF(INDEX('Schedule'!$F$4:$F$1003,$L14)="","",INDEX('Schedule'!$F$4:$F$1003,$L14)))</f>
        <v/>
      </c>
      <c r="F14" s="20">
        <f>IF($L14="","",IF(INDEX('Schedule'!$G$4:$G$1003,$L14)="","",INDEX('Schedule'!$G$4:$G$1003,$L14)))</f>
        <v/>
      </c>
      <c r="G14" s="19">
        <f>IF($L14="","",IF(INDEX('Schedule'!$I$4:$I$1003,$L14)="","",INDEX('Schedule'!$I$4:$I$1003,$L14)))</f>
        <v/>
      </c>
      <c r="H14" s="21">
        <f>IF($L14="","",IF(INDEX('Schedule'!$J$4:$J$1003,$L14)="","",INDEX('Schedule'!$J$4:$J$1003,$L14)))</f>
        <v/>
      </c>
      <c r="I14" s="16">
        <f>IF($L14="","",IF(INDEX('Schedule'!$M$4:$M$1003,$L14)="","",INDEX('Schedule'!$M$4:$M$1003,$L14)))</f>
        <v/>
      </c>
      <c r="J14" s="15" t="n"/>
      <c r="K14" s="15" t="n"/>
      <c r="L14">
        <f>IFERROR(MATCH(SMALL('Schedule'!$O$4:$O$1003,11),'Schedule'!$O$4:$O$1003,0),"")</f>
        <v/>
      </c>
    </row>
    <row r="15">
      <c r="A15" s="16">
        <f>IF($L15="","",12)</f>
        <v/>
      </c>
      <c r="B15" s="16">
        <f>IF($L15="","",IF(INDEX('Schedule'!$A$4:$A$1003,$L15)="","",INDEX('Schedule'!$A$4:$A$1003,$L15)))</f>
        <v/>
      </c>
      <c r="C15" s="16">
        <f>IF($B15="","",IFERROR(INDEX('Cars'!$F$4:$F$103,MATCH($B15,'Cars'!$A$4:$A$103,0))&amp;"",""))</f>
        <v/>
      </c>
      <c r="D15" s="16">
        <f>IF($L15="","",IF(INDEX('Schedule'!$C$4:$C$1003,$L15)="","",INDEX('Schedule'!$C$4:$C$1003,$L15)))</f>
        <v/>
      </c>
      <c r="E15" s="19">
        <f>IF($L15="","",IF(INDEX('Schedule'!$F$4:$F$1003,$L15)="","",INDEX('Schedule'!$F$4:$F$1003,$L15)))</f>
        <v/>
      </c>
      <c r="F15" s="20">
        <f>IF($L15="","",IF(INDEX('Schedule'!$G$4:$G$1003,$L15)="","",INDEX('Schedule'!$G$4:$G$1003,$L15)))</f>
        <v/>
      </c>
      <c r="G15" s="19">
        <f>IF($L15="","",IF(INDEX('Schedule'!$I$4:$I$1003,$L15)="","",INDEX('Schedule'!$I$4:$I$1003,$L15)))</f>
        <v/>
      </c>
      <c r="H15" s="21">
        <f>IF($L15="","",IF(INDEX('Schedule'!$J$4:$J$1003,$L15)="","",INDEX('Schedule'!$J$4:$J$1003,$L15)))</f>
        <v/>
      </c>
      <c r="I15" s="16">
        <f>IF($L15="","",IF(INDEX('Schedule'!$M$4:$M$1003,$L15)="","",INDEX('Schedule'!$M$4:$M$1003,$L15)))</f>
        <v/>
      </c>
      <c r="J15" s="15" t="n"/>
      <c r="K15" s="15" t="n"/>
      <c r="L15">
        <f>IFERROR(MATCH(SMALL('Schedule'!$O$4:$O$1003,12),'Schedule'!$O$4:$O$1003,0),"")</f>
        <v/>
      </c>
    </row>
    <row r="16">
      <c r="A16" s="16">
        <f>IF($L16="","",13)</f>
        <v/>
      </c>
      <c r="B16" s="16">
        <f>IF($L16="","",IF(INDEX('Schedule'!$A$4:$A$1003,$L16)="","",INDEX('Schedule'!$A$4:$A$1003,$L16)))</f>
        <v/>
      </c>
      <c r="C16" s="16">
        <f>IF($B16="","",IFERROR(INDEX('Cars'!$F$4:$F$103,MATCH($B16,'Cars'!$A$4:$A$103,0))&amp;"",""))</f>
        <v/>
      </c>
      <c r="D16" s="16">
        <f>IF($L16="","",IF(INDEX('Schedule'!$C$4:$C$1003,$L16)="","",INDEX('Schedule'!$C$4:$C$1003,$L16)))</f>
        <v/>
      </c>
      <c r="E16" s="19">
        <f>IF($L16="","",IF(INDEX('Schedule'!$F$4:$F$1003,$L16)="","",INDEX('Schedule'!$F$4:$F$1003,$L16)))</f>
        <v/>
      </c>
      <c r="F16" s="20">
        <f>IF($L16="","",IF(INDEX('Schedule'!$G$4:$G$1003,$L16)="","",INDEX('Schedule'!$G$4:$G$1003,$L16)))</f>
        <v/>
      </c>
      <c r="G16" s="19">
        <f>IF($L16="","",IF(INDEX('Schedule'!$I$4:$I$1003,$L16)="","",INDEX('Schedule'!$I$4:$I$1003,$L16)))</f>
        <v/>
      </c>
      <c r="H16" s="21">
        <f>IF($L16="","",IF(INDEX('Schedule'!$J$4:$J$1003,$L16)="","",INDEX('Schedule'!$J$4:$J$1003,$L16)))</f>
        <v/>
      </c>
      <c r="I16" s="16">
        <f>IF($L16="","",IF(INDEX('Schedule'!$M$4:$M$1003,$L16)="","",INDEX('Schedule'!$M$4:$M$1003,$L16)))</f>
        <v/>
      </c>
      <c r="J16" s="15" t="n"/>
      <c r="K16" s="15" t="n"/>
      <c r="L16">
        <f>IFERROR(MATCH(SMALL('Schedule'!$O$4:$O$1003,13),'Schedule'!$O$4:$O$1003,0),"")</f>
        <v/>
      </c>
    </row>
    <row r="17">
      <c r="A17" s="16">
        <f>IF($L17="","",14)</f>
        <v/>
      </c>
      <c r="B17" s="16">
        <f>IF($L17="","",IF(INDEX('Schedule'!$A$4:$A$1003,$L17)="","",INDEX('Schedule'!$A$4:$A$1003,$L17)))</f>
        <v/>
      </c>
      <c r="C17" s="16">
        <f>IF($B17="","",IFERROR(INDEX('Cars'!$F$4:$F$103,MATCH($B17,'Cars'!$A$4:$A$103,0))&amp;"",""))</f>
        <v/>
      </c>
      <c r="D17" s="16">
        <f>IF($L17="","",IF(INDEX('Schedule'!$C$4:$C$1003,$L17)="","",INDEX('Schedule'!$C$4:$C$1003,$L17)))</f>
        <v/>
      </c>
      <c r="E17" s="19">
        <f>IF($L17="","",IF(INDEX('Schedule'!$F$4:$F$1003,$L17)="","",INDEX('Schedule'!$F$4:$F$1003,$L17)))</f>
        <v/>
      </c>
      <c r="F17" s="20">
        <f>IF($L17="","",IF(INDEX('Schedule'!$G$4:$G$1003,$L17)="","",INDEX('Schedule'!$G$4:$G$1003,$L17)))</f>
        <v/>
      </c>
      <c r="G17" s="19">
        <f>IF($L17="","",IF(INDEX('Schedule'!$I$4:$I$1003,$L17)="","",INDEX('Schedule'!$I$4:$I$1003,$L17)))</f>
        <v/>
      </c>
      <c r="H17" s="21">
        <f>IF($L17="","",IF(INDEX('Schedule'!$J$4:$J$1003,$L17)="","",INDEX('Schedule'!$J$4:$J$1003,$L17)))</f>
        <v/>
      </c>
      <c r="I17" s="16">
        <f>IF($L17="","",IF(INDEX('Schedule'!$M$4:$M$1003,$L17)="","",INDEX('Schedule'!$M$4:$M$1003,$L17)))</f>
        <v/>
      </c>
      <c r="J17" s="15" t="n"/>
      <c r="K17" s="15" t="n"/>
      <c r="L17">
        <f>IFERROR(MATCH(SMALL('Schedule'!$O$4:$O$1003,14),'Schedule'!$O$4:$O$1003,0),"")</f>
        <v/>
      </c>
    </row>
    <row r="18">
      <c r="A18" s="16">
        <f>IF($L18="","",15)</f>
        <v/>
      </c>
      <c r="B18" s="16">
        <f>IF($L18="","",IF(INDEX('Schedule'!$A$4:$A$1003,$L18)="","",INDEX('Schedule'!$A$4:$A$1003,$L18)))</f>
        <v/>
      </c>
      <c r="C18" s="16">
        <f>IF($B18="","",IFERROR(INDEX('Cars'!$F$4:$F$103,MATCH($B18,'Cars'!$A$4:$A$103,0))&amp;"",""))</f>
        <v/>
      </c>
      <c r="D18" s="16">
        <f>IF($L18="","",IF(INDEX('Schedule'!$C$4:$C$1003,$L18)="","",INDEX('Schedule'!$C$4:$C$1003,$L18)))</f>
        <v/>
      </c>
      <c r="E18" s="19">
        <f>IF($L18="","",IF(INDEX('Schedule'!$F$4:$F$1003,$L18)="","",INDEX('Schedule'!$F$4:$F$1003,$L18)))</f>
        <v/>
      </c>
      <c r="F18" s="20">
        <f>IF($L18="","",IF(INDEX('Schedule'!$G$4:$G$1003,$L18)="","",INDEX('Schedule'!$G$4:$G$1003,$L18)))</f>
        <v/>
      </c>
      <c r="G18" s="19">
        <f>IF($L18="","",IF(INDEX('Schedule'!$I$4:$I$1003,$L18)="","",INDEX('Schedule'!$I$4:$I$1003,$L18)))</f>
        <v/>
      </c>
      <c r="H18" s="21">
        <f>IF($L18="","",IF(INDEX('Schedule'!$J$4:$J$1003,$L18)="","",INDEX('Schedule'!$J$4:$J$1003,$L18)))</f>
        <v/>
      </c>
      <c r="I18" s="16">
        <f>IF($L18="","",IF(INDEX('Schedule'!$M$4:$M$1003,$L18)="","",INDEX('Schedule'!$M$4:$M$1003,$L18)))</f>
        <v/>
      </c>
      <c r="J18" s="15" t="n"/>
      <c r="K18" s="15" t="n"/>
      <c r="L18">
        <f>IFERROR(MATCH(SMALL('Schedule'!$O$4:$O$1003,15),'Schedule'!$O$4:$O$1003,0),"")</f>
        <v/>
      </c>
    </row>
    <row r="19">
      <c r="A19" s="16">
        <f>IF($L19="","",16)</f>
        <v/>
      </c>
      <c r="B19" s="16">
        <f>IF($L19="","",IF(INDEX('Schedule'!$A$4:$A$1003,$L19)="","",INDEX('Schedule'!$A$4:$A$1003,$L19)))</f>
        <v/>
      </c>
      <c r="C19" s="16">
        <f>IF($B19="","",IFERROR(INDEX('Cars'!$F$4:$F$103,MATCH($B19,'Cars'!$A$4:$A$103,0))&amp;"",""))</f>
        <v/>
      </c>
      <c r="D19" s="16">
        <f>IF($L19="","",IF(INDEX('Schedule'!$C$4:$C$1003,$L19)="","",INDEX('Schedule'!$C$4:$C$1003,$L19)))</f>
        <v/>
      </c>
      <c r="E19" s="19">
        <f>IF($L19="","",IF(INDEX('Schedule'!$F$4:$F$1003,$L19)="","",INDEX('Schedule'!$F$4:$F$1003,$L19)))</f>
        <v/>
      </c>
      <c r="F19" s="20">
        <f>IF($L19="","",IF(INDEX('Schedule'!$G$4:$G$1003,$L19)="","",INDEX('Schedule'!$G$4:$G$1003,$L19)))</f>
        <v/>
      </c>
      <c r="G19" s="19">
        <f>IF($L19="","",IF(INDEX('Schedule'!$I$4:$I$1003,$L19)="","",INDEX('Schedule'!$I$4:$I$1003,$L19)))</f>
        <v/>
      </c>
      <c r="H19" s="21">
        <f>IF($L19="","",IF(INDEX('Schedule'!$J$4:$J$1003,$L19)="","",INDEX('Schedule'!$J$4:$J$1003,$L19)))</f>
        <v/>
      </c>
      <c r="I19" s="16">
        <f>IF($L19="","",IF(INDEX('Schedule'!$M$4:$M$1003,$L19)="","",INDEX('Schedule'!$M$4:$M$1003,$L19)))</f>
        <v/>
      </c>
      <c r="J19" s="15" t="n"/>
      <c r="K19" s="15" t="n"/>
      <c r="L19">
        <f>IFERROR(MATCH(SMALL('Schedule'!$O$4:$O$1003,16),'Schedule'!$O$4:$O$1003,0),"")</f>
        <v/>
      </c>
    </row>
    <row r="20">
      <c r="A20" s="16">
        <f>IF($L20="","",17)</f>
        <v/>
      </c>
      <c r="B20" s="16">
        <f>IF($L20="","",IF(INDEX('Schedule'!$A$4:$A$1003,$L20)="","",INDEX('Schedule'!$A$4:$A$1003,$L20)))</f>
        <v/>
      </c>
      <c r="C20" s="16">
        <f>IF($B20="","",IFERROR(INDEX('Cars'!$F$4:$F$103,MATCH($B20,'Cars'!$A$4:$A$103,0))&amp;"",""))</f>
        <v/>
      </c>
      <c r="D20" s="16">
        <f>IF($L20="","",IF(INDEX('Schedule'!$C$4:$C$1003,$L20)="","",INDEX('Schedule'!$C$4:$C$1003,$L20)))</f>
        <v/>
      </c>
      <c r="E20" s="19">
        <f>IF($L20="","",IF(INDEX('Schedule'!$F$4:$F$1003,$L20)="","",INDEX('Schedule'!$F$4:$F$1003,$L20)))</f>
        <v/>
      </c>
      <c r="F20" s="20">
        <f>IF($L20="","",IF(INDEX('Schedule'!$G$4:$G$1003,$L20)="","",INDEX('Schedule'!$G$4:$G$1003,$L20)))</f>
        <v/>
      </c>
      <c r="G20" s="19">
        <f>IF($L20="","",IF(INDEX('Schedule'!$I$4:$I$1003,$L20)="","",INDEX('Schedule'!$I$4:$I$1003,$L20)))</f>
        <v/>
      </c>
      <c r="H20" s="21">
        <f>IF($L20="","",IF(INDEX('Schedule'!$J$4:$J$1003,$L20)="","",INDEX('Schedule'!$J$4:$J$1003,$L20)))</f>
        <v/>
      </c>
      <c r="I20" s="16">
        <f>IF($L20="","",IF(INDEX('Schedule'!$M$4:$M$1003,$L20)="","",INDEX('Schedule'!$M$4:$M$1003,$L20)))</f>
        <v/>
      </c>
      <c r="J20" s="15" t="n"/>
      <c r="K20" s="15" t="n"/>
      <c r="L20">
        <f>IFERROR(MATCH(SMALL('Schedule'!$O$4:$O$1003,17),'Schedule'!$O$4:$O$1003,0),"")</f>
        <v/>
      </c>
    </row>
    <row r="21">
      <c r="A21" s="16">
        <f>IF($L21="","",18)</f>
        <v/>
      </c>
      <c r="B21" s="16">
        <f>IF($L21="","",IF(INDEX('Schedule'!$A$4:$A$1003,$L21)="","",INDEX('Schedule'!$A$4:$A$1003,$L21)))</f>
        <v/>
      </c>
      <c r="C21" s="16">
        <f>IF($B21="","",IFERROR(INDEX('Cars'!$F$4:$F$103,MATCH($B21,'Cars'!$A$4:$A$103,0))&amp;"",""))</f>
        <v/>
      </c>
      <c r="D21" s="16">
        <f>IF($L21="","",IF(INDEX('Schedule'!$C$4:$C$1003,$L21)="","",INDEX('Schedule'!$C$4:$C$1003,$L21)))</f>
        <v/>
      </c>
      <c r="E21" s="19">
        <f>IF($L21="","",IF(INDEX('Schedule'!$F$4:$F$1003,$L21)="","",INDEX('Schedule'!$F$4:$F$1003,$L21)))</f>
        <v/>
      </c>
      <c r="F21" s="20">
        <f>IF($L21="","",IF(INDEX('Schedule'!$G$4:$G$1003,$L21)="","",INDEX('Schedule'!$G$4:$G$1003,$L21)))</f>
        <v/>
      </c>
      <c r="G21" s="19">
        <f>IF($L21="","",IF(INDEX('Schedule'!$I$4:$I$1003,$L21)="","",INDEX('Schedule'!$I$4:$I$1003,$L21)))</f>
        <v/>
      </c>
      <c r="H21" s="21">
        <f>IF($L21="","",IF(INDEX('Schedule'!$J$4:$J$1003,$L21)="","",INDEX('Schedule'!$J$4:$J$1003,$L21)))</f>
        <v/>
      </c>
      <c r="I21" s="16">
        <f>IF($L21="","",IF(INDEX('Schedule'!$M$4:$M$1003,$L21)="","",INDEX('Schedule'!$M$4:$M$1003,$L21)))</f>
        <v/>
      </c>
      <c r="J21" s="15" t="n"/>
      <c r="K21" s="15" t="n"/>
      <c r="L21">
        <f>IFERROR(MATCH(SMALL('Schedule'!$O$4:$O$1003,18),'Schedule'!$O$4:$O$1003,0),"")</f>
        <v/>
      </c>
    </row>
    <row r="22">
      <c r="A22" s="16">
        <f>IF($L22="","",19)</f>
        <v/>
      </c>
      <c r="B22" s="16">
        <f>IF($L22="","",IF(INDEX('Schedule'!$A$4:$A$1003,$L22)="","",INDEX('Schedule'!$A$4:$A$1003,$L22)))</f>
        <v/>
      </c>
      <c r="C22" s="16">
        <f>IF($B22="","",IFERROR(INDEX('Cars'!$F$4:$F$103,MATCH($B22,'Cars'!$A$4:$A$103,0))&amp;"",""))</f>
        <v/>
      </c>
      <c r="D22" s="16">
        <f>IF($L22="","",IF(INDEX('Schedule'!$C$4:$C$1003,$L22)="","",INDEX('Schedule'!$C$4:$C$1003,$L22)))</f>
        <v/>
      </c>
      <c r="E22" s="19">
        <f>IF($L22="","",IF(INDEX('Schedule'!$F$4:$F$1003,$L22)="","",INDEX('Schedule'!$F$4:$F$1003,$L22)))</f>
        <v/>
      </c>
      <c r="F22" s="20">
        <f>IF($L22="","",IF(INDEX('Schedule'!$G$4:$G$1003,$L22)="","",INDEX('Schedule'!$G$4:$G$1003,$L22)))</f>
        <v/>
      </c>
      <c r="G22" s="19">
        <f>IF($L22="","",IF(INDEX('Schedule'!$I$4:$I$1003,$L22)="","",INDEX('Schedule'!$I$4:$I$1003,$L22)))</f>
        <v/>
      </c>
      <c r="H22" s="21">
        <f>IF($L22="","",IF(INDEX('Schedule'!$J$4:$J$1003,$L22)="","",INDEX('Schedule'!$J$4:$J$1003,$L22)))</f>
        <v/>
      </c>
      <c r="I22" s="16">
        <f>IF($L22="","",IF(INDEX('Schedule'!$M$4:$M$1003,$L22)="","",INDEX('Schedule'!$M$4:$M$1003,$L22)))</f>
        <v/>
      </c>
      <c r="J22" s="15" t="n"/>
      <c r="K22" s="15" t="n"/>
      <c r="L22">
        <f>IFERROR(MATCH(SMALL('Schedule'!$O$4:$O$1003,19),'Schedule'!$O$4:$O$1003,0),"")</f>
        <v/>
      </c>
    </row>
    <row r="23">
      <c r="A23" s="16">
        <f>IF($L23="","",20)</f>
        <v/>
      </c>
      <c r="B23" s="16">
        <f>IF($L23="","",IF(INDEX('Schedule'!$A$4:$A$1003,$L23)="","",INDEX('Schedule'!$A$4:$A$1003,$L23)))</f>
        <v/>
      </c>
      <c r="C23" s="16">
        <f>IF($B23="","",IFERROR(INDEX('Cars'!$F$4:$F$103,MATCH($B23,'Cars'!$A$4:$A$103,0))&amp;"",""))</f>
        <v/>
      </c>
      <c r="D23" s="16">
        <f>IF($L23="","",IF(INDEX('Schedule'!$C$4:$C$1003,$L23)="","",INDEX('Schedule'!$C$4:$C$1003,$L23)))</f>
        <v/>
      </c>
      <c r="E23" s="19">
        <f>IF($L23="","",IF(INDEX('Schedule'!$F$4:$F$1003,$L23)="","",INDEX('Schedule'!$F$4:$F$1003,$L23)))</f>
        <v/>
      </c>
      <c r="F23" s="20">
        <f>IF($L23="","",IF(INDEX('Schedule'!$G$4:$G$1003,$L23)="","",INDEX('Schedule'!$G$4:$G$1003,$L23)))</f>
        <v/>
      </c>
      <c r="G23" s="19">
        <f>IF($L23="","",IF(INDEX('Schedule'!$I$4:$I$1003,$L23)="","",INDEX('Schedule'!$I$4:$I$1003,$L23)))</f>
        <v/>
      </c>
      <c r="H23" s="21">
        <f>IF($L23="","",IF(INDEX('Schedule'!$J$4:$J$1003,$L23)="","",INDEX('Schedule'!$J$4:$J$1003,$L23)))</f>
        <v/>
      </c>
      <c r="I23" s="16">
        <f>IF($L23="","",IF(INDEX('Schedule'!$M$4:$M$1003,$L23)="","",INDEX('Schedule'!$M$4:$M$1003,$L23)))</f>
        <v/>
      </c>
      <c r="J23" s="15" t="n"/>
      <c r="K23" s="15" t="n"/>
      <c r="L23">
        <f>IFERROR(MATCH(SMALL('Schedule'!$O$4:$O$1003,20),'Schedule'!$O$4:$O$1003,0),"")</f>
        <v/>
      </c>
    </row>
    <row r="24">
      <c r="A24" s="16">
        <f>IF($L24="","",21)</f>
        <v/>
      </c>
      <c r="B24" s="16">
        <f>IF($L24="","",IF(INDEX('Schedule'!$A$4:$A$1003,$L24)="","",INDEX('Schedule'!$A$4:$A$1003,$L24)))</f>
        <v/>
      </c>
      <c r="C24" s="16">
        <f>IF($B24="","",IFERROR(INDEX('Cars'!$F$4:$F$103,MATCH($B24,'Cars'!$A$4:$A$103,0))&amp;"",""))</f>
        <v/>
      </c>
      <c r="D24" s="16">
        <f>IF($L24="","",IF(INDEX('Schedule'!$C$4:$C$1003,$L24)="","",INDEX('Schedule'!$C$4:$C$1003,$L24)))</f>
        <v/>
      </c>
      <c r="E24" s="19">
        <f>IF($L24="","",IF(INDEX('Schedule'!$F$4:$F$1003,$L24)="","",INDEX('Schedule'!$F$4:$F$1003,$L24)))</f>
        <v/>
      </c>
      <c r="F24" s="20">
        <f>IF($L24="","",IF(INDEX('Schedule'!$G$4:$G$1003,$L24)="","",INDEX('Schedule'!$G$4:$G$1003,$L24)))</f>
        <v/>
      </c>
      <c r="G24" s="19">
        <f>IF($L24="","",IF(INDEX('Schedule'!$I$4:$I$1003,$L24)="","",INDEX('Schedule'!$I$4:$I$1003,$L24)))</f>
        <v/>
      </c>
      <c r="H24" s="21">
        <f>IF($L24="","",IF(INDEX('Schedule'!$J$4:$J$1003,$L24)="","",INDEX('Schedule'!$J$4:$J$1003,$L24)))</f>
        <v/>
      </c>
      <c r="I24" s="16">
        <f>IF($L24="","",IF(INDEX('Schedule'!$M$4:$M$1003,$L24)="","",INDEX('Schedule'!$M$4:$M$1003,$L24)))</f>
        <v/>
      </c>
      <c r="J24" s="15" t="n"/>
      <c r="K24" s="15" t="n"/>
      <c r="L24">
        <f>IFERROR(MATCH(SMALL('Schedule'!$O$4:$O$1003,21),'Schedule'!$O$4:$O$1003,0),"")</f>
        <v/>
      </c>
    </row>
    <row r="25">
      <c r="A25" s="16">
        <f>IF($L25="","",22)</f>
        <v/>
      </c>
      <c r="B25" s="16">
        <f>IF($L25="","",IF(INDEX('Schedule'!$A$4:$A$1003,$L25)="","",INDEX('Schedule'!$A$4:$A$1003,$L25)))</f>
        <v/>
      </c>
      <c r="C25" s="16">
        <f>IF($B25="","",IFERROR(INDEX('Cars'!$F$4:$F$103,MATCH($B25,'Cars'!$A$4:$A$103,0))&amp;"",""))</f>
        <v/>
      </c>
      <c r="D25" s="16">
        <f>IF($L25="","",IF(INDEX('Schedule'!$C$4:$C$1003,$L25)="","",INDEX('Schedule'!$C$4:$C$1003,$L25)))</f>
        <v/>
      </c>
      <c r="E25" s="19">
        <f>IF($L25="","",IF(INDEX('Schedule'!$F$4:$F$1003,$L25)="","",INDEX('Schedule'!$F$4:$F$1003,$L25)))</f>
        <v/>
      </c>
      <c r="F25" s="20">
        <f>IF($L25="","",IF(INDEX('Schedule'!$G$4:$G$1003,$L25)="","",INDEX('Schedule'!$G$4:$G$1003,$L25)))</f>
        <v/>
      </c>
      <c r="G25" s="19">
        <f>IF($L25="","",IF(INDEX('Schedule'!$I$4:$I$1003,$L25)="","",INDEX('Schedule'!$I$4:$I$1003,$L25)))</f>
        <v/>
      </c>
      <c r="H25" s="21">
        <f>IF($L25="","",IF(INDEX('Schedule'!$J$4:$J$1003,$L25)="","",INDEX('Schedule'!$J$4:$J$1003,$L25)))</f>
        <v/>
      </c>
      <c r="I25" s="16">
        <f>IF($L25="","",IF(INDEX('Schedule'!$M$4:$M$1003,$L25)="","",INDEX('Schedule'!$M$4:$M$1003,$L25)))</f>
        <v/>
      </c>
      <c r="J25" s="15" t="n"/>
      <c r="K25" s="15" t="n"/>
      <c r="L25">
        <f>IFERROR(MATCH(SMALL('Schedule'!$O$4:$O$1003,22),'Schedule'!$O$4:$O$1003,0),"")</f>
        <v/>
      </c>
    </row>
    <row r="26">
      <c r="A26" s="16">
        <f>IF($L26="","",23)</f>
        <v/>
      </c>
      <c r="B26" s="16">
        <f>IF($L26="","",IF(INDEX('Schedule'!$A$4:$A$1003,$L26)="","",INDEX('Schedule'!$A$4:$A$1003,$L26)))</f>
        <v/>
      </c>
      <c r="C26" s="16">
        <f>IF($B26="","",IFERROR(INDEX('Cars'!$F$4:$F$103,MATCH($B26,'Cars'!$A$4:$A$103,0))&amp;"",""))</f>
        <v/>
      </c>
      <c r="D26" s="16">
        <f>IF($L26="","",IF(INDEX('Schedule'!$C$4:$C$1003,$L26)="","",INDEX('Schedule'!$C$4:$C$1003,$L26)))</f>
        <v/>
      </c>
      <c r="E26" s="19">
        <f>IF($L26="","",IF(INDEX('Schedule'!$F$4:$F$1003,$L26)="","",INDEX('Schedule'!$F$4:$F$1003,$L26)))</f>
        <v/>
      </c>
      <c r="F26" s="20">
        <f>IF($L26="","",IF(INDEX('Schedule'!$G$4:$G$1003,$L26)="","",INDEX('Schedule'!$G$4:$G$1003,$L26)))</f>
        <v/>
      </c>
      <c r="G26" s="19">
        <f>IF($L26="","",IF(INDEX('Schedule'!$I$4:$I$1003,$L26)="","",INDEX('Schedule'!$I$4:$I$1003,$L26)))</f>
        <v/>
      </c>
      <c r="H26" s="21">
        <f>IF($L26="","",IF(INDEX('Schedule'!$J$4:$J$1003,$L26)="","",INDEX('Schedule'!$J$4:$J$1003,$L26)))</f>
        <v/>
      </c>
      <c r="I26" s="16">
        <f>IF($L26="","",IF(INDEX('Schedule'!$M$4:$M$1003,$L26)="","",INDEX('Schedule'!$M$4:$M$1003,$L26)))</f>
        <v/>
      </c>
      <c r="J26" s="15" t="n"/>
      <c r="K26" s="15" t="n"/>
      <c r="L26">
        <f>IFERROR(MATCH(SMALL('Schedule'!$O$4:$O$1003,23),'Schedule'!$O$4:$O$1003,0),"")</f>
        <v/>
      </c>
    </row>
    <row r="27">
      <c r="A27" s="16">
        <f>IF($L27="","",24)</f>
        <v/>
      </c>
      <c r="B27" s="16">
        <f>IF($L27="","",IF(INDEX('Schedule'!$A$4:$A$1003,$L27)="","",INDEX('Schedule'!$A$4:$A$1003,$L27)))</f>
        <v/>
      </c>
      <c r="C27" s="16">
        <f>IF($B27="","",IFERROR(INDEX('Cars'!$F$4:$F$103,MATCH($B27,'Cars'!$A$4:$A$103,0))&amp;"",""))</f>
        <v/>
      </c>
      <c r="D27" s="16">
        <f>IF($L27="","",IF(INDEX('Schedule'!$C$4:$C$1003,$L27)="","",INDEX('Schedule'!$C$4:$C$1003,$L27)))</f>
        <v/>
      </c>
      <c r="E27" s="19">
        <f>IF($L27="","",IF(INDEX('Schedule'!$F$4:$F$1003,$L27)="","",INDEX('Schedule'!$F$4:$F$1003,$L27)))</f>
        <v/>
      </c>
      <c r="F27" s="20">
        <f>IF($L27="","",IF(INDEX('Schedule'!$G$4:$G$1003,$L27)="","",INDEX('Schedule'!$G$4:$G$1003,$L27)))</f>
        <v/>
      </c>
      <c r="G27" s="19">
        <f>IF($L27="","",IF(INDEX('Schedule'!$I$4:$I$1003,$L27)="","",INDEX('Schedule'!$I$4:$I$1003,$L27)))</f>
        <v/>
      </c>
      <c r="H27" s="21">
        <f>IF($L27="","",IF(INDEX('Schedule'!$J$4:$J$1003,$L27)="","",INDEX('Schedule'!$J$4:$J$1003,$L27)))</f>
        <v/>
      </c>
      <c r="I27" s="16">
        <f>IF($L27="","",IF(INDEX('Schedule'!$M$4:$M$1003,$L27)="","",INDEX('Schedule'!$M$4:$M$1003,$L27)))</f>
        <v/>
      </c>
      <c r="J27" s="15" t="n"/>
      <c r="K27" s="15" t="n"/>
      <c r="L27">
        <f>IFERROR(MATCH(SMALL('Schedule'!$O$4:$O$1003,24),'Schedule'!$O$4:$O$1003,0),"")</f>
        <v/>
      </c>
    </row>
    <row r="28">
      <c r="A28" s="16">
        <f>IF($L28="","",25)</f>
        <v/>
      </c>
      <c r="B28" s="16">
        <f>IF($L28="","",IF(INDEX('Schedule'!$A$4:$A$1003,$L28)="","",INDEX('Schedule'!$A$4:$A$1003,$L28)))</f>
        <v/>
      </c>
      <c r="C28" s="16">
        <f>IF($B28="","",IFERROR(INDEX('Cars'!$F$4:$F$103,MATCH($B28,'Cars'!$A$4:$A$103,0))&amp;"",""))</f>
        <v/>
      </c>
      <c r="D28" s="16">
        <f>IF($L28="","",IF(INDEX('Schedule'!$C$4:$C$1003,$L28)="","",INDEX('Schedule'!$C$4:$C$1003,$L28)))</f>
        <v/>
      </c>
      <c r="E28" s="19">
        <f>IF($L28="","",IF(INDEX('Schedule'!$F$4:$F$1003,$L28)="","",INDEX('Schedule'!$F$4:$F$1003,$L28)))</f>
        <v/>
      </c>
      <c r="F28" s="20">
        <f>IF($L28="","",IF(INDEX('Schedule'!$G$4:$G$1003,$L28)="","",INDEX('Schedule'!$G$4:$G$1003,$L28)))</f>
        <v/>
      </c>
      <c r="G28" s="19">
        <f>IF($L28="","",IF(INDEX('Schedule'!$I$4:$I$1003,$L28)="","",INDEX('Schedule'!$I$4:$I$1003,$L28)))</f>
        <v/>
      </c>
      <c r="H28" s="21">
        <f>IF($L28="","",IF(INDEX('Schedule'!$J$4:$J$1003,$L28)="","",INDEX('Schedule'!$J$4:$J$1003,$L28)))</f>
        <v/>
      </c>
      <c r="I28" s="16">
        <f>IF($L28="","",IF(INDEX('Schedule'!$M$4:$M$1003,$L28)="","",INDEX('Schedule'!$M$4:$M$1003,$L28)))</f>
        <v/>
      </c>
      <c r="J28" s="15" t="n"/>
      <c r="K28" s="15" t="n"/>
      <c r="L28">
        <f>IFERROR(MATCH(SMALL('Schedule'!$O$4:$O$1003,25),'Schedule'!$O$4:$O$1003,0),"")</f>
        <v/>
      </c>
    </row>
    <row r="29">
      <c r="A29" s="16">
        <f>IF($L29="","",26)</f>
        <v/>
      </c>
      <c r="B29" s="16">
        <f>IF($L29="","",IF(INDEX('Schedule'!$A$4:$A$1003,$L29)="","",INDEX('Schedule'!$A$4:$A$1003,$L29)))</f>
        <v/>
      </c>
      <c r="C29" s="16">
        <f>IF($B29="","",IFERROR(INDEX('Cars'!$F$4:$F$103,MATCH($B29,'Cars'!$A$4:$A$103,0))&amp;"",""))</f>
        <v/>
      </c>
      <c r="D29" s="16">
        <f>IF($L29="","",IF(INDEX('Schedule'!$C$4:$C$1003,$L29)="","",INDEX('Schedule'!$C$4:$C$1003,$L29)))</f>
        <v/>
      </c>
      <c r="E29" s="19">
        <f>IF($L29="","",IF(INDEX('Schedule'!$F$4:$F$1003,$L29)="","",INDEX('Schedule'!$F$4:$F$1003,$L29)))</f>
        <v/>
      </c>
      <c r="F29" s="20">
        <f>IF($L29="","",IF(INDEX('Schedule'!$G$4:$G$1003,$L29)="","",INDEX('Schedule'!$G$4:$G$1003,$L29)))</f>
        <v/>
      </c>
      <c r="G29" s="19">
        <f>IF($L29="","",IF(INDEX('Schedule'!$I$4:$I$1003,$L29)="","",INDEX('Schedule'!$I$4:$I$1003,$L29)))</f>
        <v/>
      </c>
      <c r="H29" s="21">
        <f>IF($L29="","",IF(INDEX('Schedule'!$J$4:$J$1003,$L29)="","",INDEX('Schedule'!$J$4:$J$1003,$L29)))</f>
        <v/>
      </c>
      <c r="I29" s="16">
        <f>IF($L29="","",IF(INDEX('Schedule'!$M$4:$M$1003,$L29)="","",INDEX('Schedule'!$M$4:$M$1003,$L29)))</f>
        <v/>
      </c>
      <c r="J29" s="15" t="n"/>
      <c r="K29" s="15" t="n"/>
      <c r="L29">
        <f>IFERROR(MATCH(SMALL('Schedule'!$O$4:$O$1003,26),'Schedule'!$O$4:$O$1003,0),"")</f>
        <v/>
      </c>
    </row>
    <row r="30">
      <c r="A30" s="16">
        <f>IF($L30="","",27)</f>
        <v/>
      </c>
      <c r="B30" s="16">
        <f>IF($L30="","",IF(INDEX('Schedule'!$A$4:$A$1003,$L30)="","",INDEX('Schedule'!$A$4:$A$1003,$L30)))</f>
        <v/>
      </c>
      <c r="C30" s="16">
        <f>IF($B30="","",IFERROR(INDEX('Cars'!$F$4:$F$103,MATCH($B30,'Cars'!$A$4:$A$103,0))&amp;"",""))</f>
        <v/>
      </c>
      <c r="D30" s="16">
        <f>IF($L30="","",IF(INDEX('Schedule'!$C$4:$C$1003,$L30)="","",INDEX('Schedule'!$C$4:$C$1003,$L30)))</f>
        <v/>
      </c>
      <c r="E30" s="19">
        <f>IF($L30="","",IF(INDEX('Schedule'!$F$4:$F$1003,$L30)="","",INDEX('Schedule'!$F$4:$F$1003,$L30)))</f>
        <v/>
      </c>
      <c r="F30" s="20">
        <f>IF($L30="","",IF(INDEX('Schedule'!$G$4:$G$1003,$L30)="","",INDEX('Schedule'!$G$4:$G$1003,$L30)))</f>
        <v/>
      </c>
      <c r="G30" s="19">
        <f>IF($L30="","",IF(INDEX('Schedule'!$I$4:$I$1003,$L30)="","",INDEX('Schedule'!$I$4:$I$1003,$L30)))</f>
        <v/>
      </c>
      <c r="H30" s="21">
        <f>IF($L30="","",IF(INDEX('Schedule'!$J$4:$J$1003,$L30)="","",INDEX('Schedule'!$J$4:$J$1003,$L30)))</f>
        <v/>
      </c>
      <c r="I30" s="16">
        <f>IF($L30="","",IF(INDEX('Schedule'!$M$4:$M$1003,$L30)="","",INDEX('Schedule'!$M$4:$M$1003,$L30)))</f>
        <v/>
      </c>
      <c r="J30" s="15" t="n"/>
      <c r="K30" s="15" t="n"/>
      <c r="L30">
        <f>IFERROR(MATCH(SMALL('Schedule'!$O$4:$O$1003,27),'Schedule'!$O$4:$O$1003,0),"")</f>
        <v/>
      </c>
    </row>
    <row r="31">
      <c r="A31" s="16">
        <f>IF($L31="","",28)</f>
        <v/>
      </c>
      <c r="B31" s="16">
        <f>IF($L31="","",IF(INDEX('Schedule'!$A$4:$A$1003,$L31)="","",INDEX('Schedule'!$A$4:$A$1003,$L31)))</f>
        <v/>
      </c>
      <c r="C31" s="16">
        <f>IF($B31="","",IFERROR(INDEX('Cars'!$F$4:$F$103,MATCH($B31,'Cars'!$A$4:$A$103,0))&amp;"",""))</f>
        <v/>
      </c>
      <c r="D31" s="16">
        <f>IF($L31="","",IF(INDEX('Schedule'!$C$4:$C$1003,$L31)="","",INDEX('Schedule'!$C$4:$C$1003,$L31)))</f>
        <v/>
      </c>
      <c r="E31" s="19">
        <f>IF($L31="","",IF(INDEX('Schedule'!$F$4:$F$1003,$L31)="","",INDEX('Schedule'!$F$4:$F$1003,$L31)))</f>
        <v/>
      </c>
      <c r="F31" s="20">
        <f>IF($L31="","",IF(INDEX('Schedule'!$G$4:$G$1003,$L31)="","",INDEX('Schedule'!$G$4:$G$1003,$L31)))</f>
        <v/>
      </c>
      <c r="G31" s="19">
        <f>IF($L31="","",IF(INDEX('Schedule'!$I$4:$I$1003,$L31)="","",INDEX('Schedule'!$I$4:$I$1003,$L31)))</f>
        <v/>
      </c>
      <c r="H31" s="21">
        <f>IF($L31="","",IF(INDEX('Schedule'!$J$4:$J$1003,$L31)="","",INDEX('Schedule'!$J$4:$J$1003,$L31)))</f>
        <v/>
      </c>
      <c r="I31" s="16">
        <f>IF($L31="","",IF(INDEX('Schedule'!$M$4:$M$1003,$L31)="","",INDEX('Schedule'!$M$4:$M$1003,$L31)))</f>
        <v/>
      </c>
      <c r="J31" s="15" t="n"/>
      <c r="K31" s="15" t="n"/>
      <c r="L31">
        <f>IFERROR(MATCH(SMALL('Schedule'!$O$4:$O$1003,28),'Schedule'!$O$4:$O$1003,0),"")</f>
        <v/>
      </c>
    </row>
    <row r="32">
      <c r="A32" s="16">
        <f>IF($L32="","",29)</f>
        <v/>
      </c>
      <c r="B32" s="16">
        <f>IF($L32="","",IF(INDEX('Schedule'!$A$4:$A$1003,$L32)="","",INDEX('Schedule'!$A$4:$A$1003,$L32)))</f>
        <v/>
      </c>
      <c r="C32" s="16">
        <f>IF($B32="","",IFERROR(INDEX('Cars'!$F$4:$F$103,MATCH($B32,'Cars'!$A$4:$A$103,0))&amp;"",""))</f>
        <v/>
      </c>
      <c r="D32" s="16">
        <f>IF($L32="","",IF(INDEX('Schedule'!$C$4:$C$1003,$L32)="","",INDEX('Schedule'!$C$4:$C$1003,$L32)))</f>
        <v/>
      </c>
      <c r="E32" s="19">
        <f>IF($L32="","",IF(INDEX('Schedule'!$F$4:$F$1003,$L32)="","",INDEX('Schedule'!$F$4:$F$1003,$L32)))</f>
        <v/>
      </c>
      <c r="F32" s="20">
        <f>IF($L32="","",IF(INDEX('Schedule'!$G$4:$G$1003,$L32)="","",INDEX('Schedule'!$G$4:$G$1003,$L32)))</f>
        <v/>
      </c>
      <c r="G32" s="19">
        <f>IF($L32="","",IF(INDEX('Schedule'!$I$4:$I$1003,$L32)="","",INDEX('Schedule'!$I$4:$I$1003,$L32)))</f>
        <v/>
      </c>
      <c r="H32" s="21">
        <f>IF($L32="","",IF(INDEX('Schedule'!$J$4:$J$1003,$L32)="","",INDEX('Schedule'!$J$4:$J$1003,$L32)))</f>
        <v/>
      </c>
      <c r="I32" s="16">
        <f>IF($L32="","",IF(INDEX('Schedule'!$M$4:$M$1003,$L32)="","",INDEX('Schedule'!$M$4:$M$1003,$L32)))</f>
        <v/>
      </c>
      <c r="J32" s="15" t="n"/>
      <c r="K32" s="15" t="n"/>
      <c r="L32">
        <f>IFERROR(MATCH(SMALL('Schedule'!$O$4:$O$1003,29),'Schedule'!$O$4:$O$1003,0),"")</f>
        <v/>
      </c>
    </row>
    <row r="33">
      <c r="A33" s="16">
        <f>IF($L33="","",30)</f>
        <v/>
      </c>
      <c r="B33" s="16">
        <f>IF($L33="","",IF(INDEX('Schedule'!$A$4:$A$1003,$L33)="","",INDEX('Schedule'!$A$4:$A$1003,$L33)))</f>
        <v/>
      </c>
      <c r="C33" s="16">
        <f>IF($B33="","",IFERROR(INDEX('Cars'!$F$4:$F$103,MATCH($B33,'Cars'!$A$4:$A$103,0))&amp;"",""))</f>
        <v/>
      </c>
      <c r="D33" s="16">
        <f>IF($L33="","",IF(INDEX('Schedule'!$C$4:$C$1003,$L33)="","",INDEX('Schedule'!$C$4:$C$1003,$L33)))</f>
        <v/>
      </c>
      <c r="E33" s="19">
        <f>IF($L33="","",IF(INDEX('Schedule'!$F$4:$F$1003,$L33)="","",INDEX('Schedule'!$F$4:$F$1003,$L33)))</f>
        <v/>
      </c>
      <c r="F33" s="20">
        <f>IF($L33="","",IF(INDEX('Schedule'!$G$4:$G$1003,$L33)="","",INDEX('Schedule'!$G$4:$G$1003,$L33)))</f>
        <v/>
      </c>
      <c r="G33" s="19">
        <f>IF($L33="","",IF(INDEX('Schedule'!$I$4:$I$1003,$L33)="","",INDEX('Schedule'!$I$4:$I$1003,$L33)))</f>
        <v/>
      </c>
      <c r="H33" s="21">
        <f>IF($L33="","",IF(INDEX('Schedule'!$J$4:$J$1003,$L33)="","",INDEX('Schedule'!$J$4:$J$1003,$L33)))</f>
        <v/>
      </c>
      <c r="I33" s="16">
        <f>IF($L33="","",IF(INDEX('Schedule'!$M$4:$M$1003,$L33)="","",INDEX('Schedule'!$M$4:$M$1003,$L33)))</f>
        <v/>
      </c>
      <c r="J33" s="15" t="n"/>
      <c r="K33" s="15" t="n"/>
      <c r="L33">
        <f>IFERROR(MATCH(SMALL('Schedule'!$O$4:$O$1003,30),'Schedule'!$O$4:$O$1003,0),"")</f>
        <v/>
      </c>
    </row>
    <row r="34">
      <c r="A34" s="16">
        <f>IF($L34="","",31)</f>
        <v/>
      </c>
      <c r="B34" s="16">
        <f>IF($L34="","",IF(INDEX('Schedule'!$A$4:$A$1003,$L34)="","",INDEX('Schedule'!$A$4:$A$1003,$L34)))</f>
        <v/>
      </c>
      <c r="C34" s="16">
        <f>IF($B34="","",IFERROR(INDEX('Cars'!$F$4:$F$103,MATCH($B34,'Cars'!$A$4:$A$103,0))&amp;"",""))</f>
        <v/>
      </c>
      <c r="D34" s="16">
        <f>IF($L34="","",IF(INDEX('Schedule'!$C$4:$C$1003,$L34)="","",INDEX('Schedule'!$C$4:$C$1003,$L34)))</f>
        <v/>
      </c>
      <c r="E34" s="19">
        <f>IF($L34="","",IF(INDEX('Schedule'!$F$4:$F$1003,$L34)="","",INDEX('Schedule'!$F$4:$F$1003,$L34)))</f>
        <v/>
      </c>
      <c r="F34" s="20">
        <f>IF($L34="","",IF(INDEX('Schedule'!$G$4:$G$1003,$L34)="","",INDEX('Schedule'!$G$4:$G$1003,$L34)))</f>
        <v/>
      </c>
      <c r="G34" s="19">
        <f>IF($L34="","",IF(INDEX('Schedule'!$I$4:$I$1003,$L34)="","",INDEX('Schedule'!$I$4:$I$1003,$L34)))</f>
        <v/>
      </c>
      <c r="H34" s="21">
        <f>IF($L34="","",IF(INDEX('Schedule'!$J$4:$J$1003,$L34)="","",INDEX('Schedule'!$J$4:$J$1003,$L34)))</f>
        <v/>
      </c>
      <c r="I34" s="16">
        <f>IF($L34="","",IF(INDEX('Schedule'!$M$4:$M$1003,$L34)="","",INDEX('Schedule'!$M$4:$M$1003,$L34)))</f>
        <v/>
      </c>
      <c r="J34" s="15" t="n"/>
      <c r="K34" s="15" t="n"/>
      <c r="L34">
        <f>IFERROR(MATCH(SMALL('Schedule'!$O$4:$O$1003,31),'Schedule'!$O$4:$O$1003,0),"")</f>
        <v/>
      </c>
    </row>
    <row r="35">
      <c r="A35" s="16">
        <f>IF($L35="","",32)</f>
        <v/>
      </c>
      <c r="B35" s="16">
        <f>IF($L35="","",IF(INDEX('Schedule'!$A$4:$A$1003,$L35)="","",INDEX('Schedule'!$A$4:$A$1003,$L35)))</f>
        <v/>
      </c>
      <c r="C35" s="16">
        <f>IF($B35="","",IFERROR(INDEX('Cars'!$F$4:$F$103,MATCH($B35,'Cars'!$A$4:$A$103,0))&amp;"",""))</f>
        <v/>
      </c>
      <c r="D35" s="16">
        <f>IF($L35="","",IF(INDEX('Schedule'!$C$4:$C$1003,$L35)="","",INDEX('Schedule'!$C$4:$C$1003,$L35)))</f>
        <v/>
      </c>
      <c r="E35" s="19">
        <f>IF($L35="","",IF(INDEX('Schedule'!$F$4:$F$1003,$L35)="","",INDEX('Schedule'!$F$4:$F$1003,$L35)))</f>
        <v/>
      </c>
      <c r="F35" s="20">
        <f>IF($L35="","",IF(INDEX('Schedule'!$G$4:$G$1003,$L35)="","",INDEX('Schedule'!$G$4:$G$1003,$L35)))</f>
        <v/>
      </c>
      <c r="G35" s="19">
        <f>IF($L35="","",IF(INDEX('Schedule'!$I$4:$I$1003,$L35)="","",INDEX('Schedule'!$I$4:$I$1003,$L35)))</f>
        <v/>
      </c>
      <c r="H35" s="21">
        <f>IF($L35="","",IF(INDEX('Schedule'!$J$4:$J$1003,$L35)="","",INDEX('Schedule'!$J$4:$J$1003,$L35)))</f>
        <v/>
      </c>
      <c r="I35" s="16">
        <f>IF($L35="","",IF(INDEX('Schedule'!$M$4:$M$1003,$L35)="","",INDEX('Schedule'!$M$4:$M$1003,$L35)))</f>
        <v/>
      </c>
      <c r="J35" s="15" t="n"/>
      <c r="K35" s="15" t="n"/>
      <c r="L35">
        <f>IFERROR(MATCH(SMALL('Schedule'!$O$4:$O$1003,32),'Schedule'!$O$4:$O$1003,0),"")</f>
        <v/>
      </c>
    </row>
    <row r="36">
      <c r="A36" s="16">
        <f>IF($L36="","",33)</f>
        <v/>
      </c>
      <c r="B36" s="16">
        <f>IF($L36="","",IF(INDEX('Schedule'!$A$4:$A$1003,$L36)="","",INDEX('Schedule'!$A$4:$A$1003,$L36)))</f>
        <v/>
      </c>
      <c r="C36" s="16">
        <f>IF($B36="","",IFERROR(INDEX('Cars'!$F$4:$F$103,MATCH($B36,'Cars'!$A$4:$A$103,0))&amp;"",""))</f>
        <v/>
      </c>
      <c r="D36" s="16">
        <f>IF($L36="","",IF(INDEX('Schedule'!$C$4:$C$1003,$L36)="","",INDEX('Schedule'!$C$4:$C$1003,$L36)))</f>
        <v/>
      </c>
      <c r="E36" s="19">
        <f>IF($L36="","",IF(INDEX('Schedule'!$F$4:$F$1003,$L36)="","",INDEX('Schedule'!$F$4:$F$1003,$L36)))</f>
        <v/>
      </c>
      <c r="F36" s="20">
        <f>IF($L36="","",IF(INDEX('Schedule'!$G$4:$G$1003,$L36)="","",INDEX('Schedule'!$G$4:$G$1003,$L36)))</f>
        <v/>
      </c>
      <c r="G36" s="19">
        <f>IF($L36="","",IF(INDEX('Schedule'!$I$4:$I$1003,$L36)="","",INDEX('Schedule'!$I$4:$I$1003,$L36)))</f>
        <v/>
      </c>
      <c r="H36" s="21">
        <f>IF($L36="","",IF(INDEX('Schedule'!$J$4:$J$1003,$L36)="","",INDEX('Schedule'!$J$4:$J$1003,$L36)))</f>
        <v/>
      </c>
      <c r="I36" s="16">
        <f>IF($L36="","",IF(INDEX('Schedule'!$M$4:$M$1003,$L36)="","",INDEX('Schedule'!$M$4:$M$1003,$L36)))</f>
        <v/>
      </c>
      <c r="J36" s="15" t="n"/>
      <c r="K36" s="15" t="n"/>
      <c r="L36">
        <f>IFERROR(MATCH(SMALL('Schedule'!$O$4:$O$1003,33),'Schedule'!$O$4:$O$1003,0),"")</f>
        <v/>
      </c>
    </row>
    <row r="37">
      <c r="A37" s="16">
        <f>IF($L37="","",34)</f>
        <v/>
      </c>
      <c r="B37" s="16">
        <f>IF($L37="","",IF(INDEX('Schedule'!$A$4:$A$1003,$L37)="","",INDEX('Schedule'!$A$4:$A$1003,$L37)))</f>
        <v/>
      </c>
      <c r="C37" s="16">
        <f>IF($B37="","",IFERROR(INDEX('Cars'!$F$4:$F$103,MATCH($B37,'Cars'!$A$4:$A$103,0))&amp;"",""))</f>
        <v/>
      </c>
      <c r="D37" s="16">
        <f>IF($L37="","",IF(INDEX('Schedule'!$C$4:$C$1003,$L37)="","",INDEX('Schedule'!$C$4:$C$1003,$L37)))</f>
        <v/>
      </c>
      <c r="E37" s="19">
        <f>IF($L37="","",IF(INDEX('Schedule'!$F$4:$F$1003,$L37)="","",INDEX('Schedule'!$F$4:$F$1003,$L37)))</f>
        <v/>
      </c>
      <c r="F37" s="20">
        <f>IF($L37="","",IF(INDEX('Schedule'!$G$4:$G$1003,$L37)="","",INDEX('Schedule'!$G$4:$G$1003,$L37)))</f>
        <v/>
      </c>
      <c r="G37" s="19">
        <f>IF($L37="","",IF(INDEX('Schedule'!$I$4:$I$1003,$L37)="","",INDEX('Schedule'!$I$4:$I$1003,$L37)))</f>
        <v/>
      </c>
      <c r="H37" s="21">
        <f>IF($L37="","",IF(INDEX('Schedule'!$J$4:$J$1003,$L37)="","",INDEX('Schedule'!$J$4:$J$1003,$L37)))</f>
        <v/>
      </c>
      <c r="I37" s="16">
        <f>IF($L37="","",IF(INDEX('Schedule'!$M$4:$M$1003,$L37)="","",INDEX('Schedule'!$M$4:$M$1003,$L37)))</f>
        <v/>
      </c>
      <c r="J37" s="15" t="n"/>
      <c r="K37" s="15" t="n"/>
      <c r="L37">
        <f>IFERROR(MATCH(SMALL('Schedule'!$O$4:$O$1003,34),'Schedule'!$O$4:$O$1003,0),"")</f>
        <v/>
      </c>
    </row>
    <row r="38">
      <c r="A38" s="16">
        <f>IF($L38="","",35)</f>
        <v/>
      </c>
      <c r="B38" s="16">
        <f>IF($L38="","",IF(INDEX('Schedule'!$A$4:$A$1003,$L38)="","",INDEX('Schedule'!$A$4:$A$1003,$L38)))</f>
        <v/>
      </c>
      <c r="C38" s="16">
        <f>IF($B38="","",IFERROR(INDEX('Cars'!$F$4:$F$103,MATCH($B38,'Cars'!$A$4:$A$103,0))&amp;"",""))</f>
        <v/>
      </c>
      <c r="D38" s="16">
        <f>IF($L38="","",IF(INDEX('Schedule'!$C$4:$C$1003,$L38)="","",INDEX('Schedule'!$C$4:$C$1003,$L38)))</f>
        <v/>
      </c>
      <c r="E38" s="19">
        <f>IF($L38="","",IF(INDEX('Schedule'!$F$4:$F$1003,$L38)="","",INDEX('Schedule'!$F$4:$F$1003,$L38)))</f>
        <v/>
      </c>
      <c r="F38" s="20">
        <f>IF($L38="","",IF(INDEX('Schedule'!$G$4:$G$1003,$L38)="","",INDEX('Schedule'!$G$4:$G$1003,$L38)))</f>
        <v/>
      </c>
      <c r="G38" s="19">
        <f>IF($L38="","",IF(INDEX('Schedule'!$I$4:$I$1003,$L38)="","",INDEX('Schedule'!$I$4:$I$1003,$L38)))</f>
        <v/>
      </c>
      <c r="H38" s="21">
        <f>IF($L38="","",IF(INDEX('Schedule'!$J$4:$J$1003,$L38)="","",INDEX('Schedule'!$J$4:$J$1003,$L38)))</f>
        <v/>
      </c>
      <c r="I38" s="16">
        <f>IF($L38="","",IF(INDEX('Schedule'!$M$4:$M$1003,$L38)="","",INDEX('Schedule'!$M$4:$M$1003,$L38)))</f>
        <v/>
      </c>
      <c r="J38" s="15" t="n"/>
      <c r="K38" s="15" t="n"/>
      <c r="L38">
        <f>IFERROR(MATCH(SMALL('Schedule'!$O$4:$O$1003,35),'Schedule'!$O$4:$O$1003,0),"")</f>
        <v/>
      </c>
    </row>
    <row r="39">
      <c r="A39" s="16">
        <f>IF($L39="","",36)</f>
        <v/>
      </c>
      <c r="B39" s="16">
        <f>IF($L39="","",IF(INDEX('Schedule'!$A$4:$A$1003,$L39)="","",INDEX('Schedule'!$A$4:$A$1003,$L39)))</f>
        <v/>
      </c>
      <c r="C39" s="16">
        <f>IF($B39="","",IFERROR(INDEX('Cars'!$F$4:$F$103,MATCH($B39,'Cars'!$A$4:$A$103,0))&amp;"",""))</f>
        <v/>
      </c>
      <c r="D39" s="16">
        <f>IF($L39="","",IF(INDEX('Schedule'!$C$4:$C$1003,$L39)="","",INDEX('Schedule'!$C$4:$C$1003,$L39)))</f>
        <v/>
      </c>
      <c r="E39" s="19">
        <f>IF($L39="","",IF(INDEX('Schedule'!$F$4:$F$1003,$L39)="","",INDEX('Schedule'!$F$4:$F$1003,$L39)))</f>
        <v/>
      </c>
      <c r="F39" s="20">
        <f>IF($L39="","",IF(INDEX('Schedule'!$G$4:$G$1003,$L39)="","",INDEX('Schedule'!$G$4:$G$1003,$L39)))</f>
        <v/>
      </c>
      <c r="G39" s="19">
        <f>IF($L39="","",IF(INDEX('Schedule'!$I$4:$I$1003,$L39)="","",INDEX('Schedule'!$I$4:$I$1003,$L39)))</f>
        <v/>
      </c>
      <c r="H39" s="21">
        <f>IF($L39="","",IF(INDEX('Schedule'!$J$4:$J$1003,$L39)="","",INDEX('Schedule'!$J$4:$J$1003,$L39)))</f>
        <v/>
      </c>
      <c r="I39" s="16">
        <f>IF($L39="","",IF(INDEX('Schedule'!$M$4:$M$1003,$L39)="","",INDEX('Schedule'!$M$4:$M$1003,$L39)))</f>
        <v/>
      </c>
      <c r="J39" s="15" t="n"/>
      <c r="K39" s="15" t="n"/>
      <c r="L39">
        <f>IFERROR(MATCH(SMALL('Schedule'!$O$4:$O$1003,36),'Schedule'!$O$4:$O$1003,0),"")</f>
        <v/>
      </c>
    </row>
    <row r="40">
      <c r="A40" s="16">
        <f>IF($L40="","",37)</f>
        <v/>
      </c>
      <c r="B40" s="16">
        <f>IF($L40="","",IF(INDEX('Schedule'!$A$4:$A$1003,$L40)="","",INDEX('Schedule'!$A$4:$A$1003,$L40)))</f>
        <v/>
      </c>
      <c r="C40" s="16">
        <f>IF($B40="","",IFERROR(INDEX('Cars'!$F$4:$F$103,MATCH($B40,'Cars'!$A$4:$A$103,0))&amp;"",""))</f>
        <v/>
      </c>
      <c r="D40" s="16">
        <f>IF($L40="","",IF(INDEX('Schedule'!$C$4:$C$1003,$L40)="","",INDEX('Schedule'!$C$4:$C$1003,$L40)))</f>
        <v/>
      </c>
      <c r="E40" s="19">
        <f>IF($L40="","",IF(INDEX('Schedule'!$F$4:$F$1003,$L40)="","",INDEX('Schedule'!$F$4:$F$1003,$L40)))</f>
        <v/>
      </c>
      <c r="F40" s="20">
        <f>IF($L40="","",IF(INDEX('Schedule'!$G$4:$G$1003,$L40)="","",INDEX('Schedule'!$G$4:$G$1003,$L40)))</f>
        <v/>
      </c>
      <c r="G40" s="19">
        <f>IF($L40="","",IF(INDEX('Schedule'!$I$4:$I$1003,$L40)="","",INDEX('Schedule'!$I$4:$I$1003,$L40)))</f>
        <v/>
      </c>
      <c r="H40" s="21">
        <f>IF($L40="","",IF(INDEX('Schedule'!$J$4:$J$1003,$L40)="","",INDEX('Schedule'!$J$4:$J$1003,$L40)))</f>
        <v/>
      </c>
      <c r="I40" s="16">
        <f>IF($L40="","",IF(INDEX('Schedule'!$M$4:$M$1003,$L40)="","",INDEX('Schedule'!$M$4:$M$1003,$L40)))</f>
        <v/>
      </c>
      <c r="J40" s="15" t="n"/>
      <c r="K40" s="15" t="n"/>
      <c r="L40">
        <f>IFERROR(MATCH(SMALL('Schedule'!$O$4:$O$1003,37),'Schedule'!$O$4:$O$1003,0),"")</f>
        <v/>
      </c>
    </row>
    <row r="41">
      <c r="A41" s="16">
        <f>IF($L41="","",38)</f>
        <v/>
      </c>
      <c r="B41" s="16">
        <f>IF($L41="","",IF(INDEX('Schedule'!$A$4:$A$1003,$L41)="","",INDEX('Schedule'!$A$4:$A$1003,$L41)))</f>
        <v/>
      </c>
      <c r="C41" s="16">
        <f>IF($B41="","",IFERROR(INDEX('Cars'!$F$4:$F$103,MATCH($B41,'Cars'!$A$4:$A$103,0))&amp;"",""))</f>
        <v/>
      </c>
      <c r="D41" s="16">
        <f>IF($L41="","",IF(INDEX('Schedule'!$C$4:$C$1003,$L41)="","",INDEX('Schedule'!$C$4:$C$1003,$L41)))</f>
        <v/>
      </c>
      <c r="E41" s="19">
        <f>IF($L41="","",IF(INDEX('Schedule'!$F$4:$F$1003,$L41)="","",INDEX('Schedule'!$F$4:$F$1003,$L41)))</f>
        <v/>
      </c>
      <c r="F41" s="20">
        <f>IF($L41="","",IF(INDEX('Schedule'!$G$4:$G$1003,$L41)="","",INDEX('Schedule'!$G$4:$G$1003,$L41)))</f>
        <v/>
      </c>
      <c r="G41" s="19">
        <f>IF($L41="","",IF(INDEX('Schedule'!$I$4:$I$1003,$L41)="","",INDEX('Schedule'!$I$4:$I$1003,$L41)))</f>
        <v/>
      </c>
      <c r="H41" s="21">
        <f>IF($L41="","",IF(INDEX('Schedule'!$J$4:$J$1003,$L41)="","",INDEX('Schedule'!$J$4:$J$1003,$L41)))</f>
        <v/>
      </c>
      <c r="I41" s="16">
        <f>IF($L41="","",IF(INDEX('Schedule'!$M$4:$M$1003,$L41)="","",INDEX('Schedule'!$M$4:$M$1003,$L41)))</f>
        <v/>
      </c>
      <c r="J41" s="15" t="n"/>
      <c r="K41" s="15" t="n"/>
      <c r="L41">
        <f>IFERROR(MATCH(SMALL('Schedule'!$O$4:$O$1003,38),'Schedule'!$O$4:$O$1003,0),"")</f>
        <v/>
      </c>
    </row>
    <row r="42">
      <c r="A42" s="16">
        <f>IF($L42="","",39)</f>
        <v/>
      </c>
      <c r="B42" s="16">
        <f>IF($L42="","",IF(INDEX('Schedule'!$A$4:$A$1003,$L42)="","",INDEX('Schedule'!$A$4:$A$1003,$L42)))</f>
        <v/>
      </c>
      <c r="C42" s="16">
        <f>IF($B42="","",IFERROR(INDEX('Cars'!$F$4:$F$103,MATCH($B42,'Cars'!$A$4:$A$103,0))&amp;"",""))</f>
        <v/>
      </c>
      <c r="D42" s="16">
        <f>IF($L42="","",IF(INDEX('Schedule'!$C$4:$C$1003,$L42)="","",INDEX('Schedule'!$C$4:$C$1003,$L42)))</f>
        <v/>
      </c>
      <c r="E42" s="19">
        <f>IF($L42="","",IF(INDEX('Schedule'!$F$4:$F$1003,$L42)="","",INDEX('Schedule'!$F$4:$F$1003,$L42)))</f>
        <v/>
      </c>
      <c r="F42" s="20">
        <f>IF($L42="","",IF(INDEX('Schedule'!$G$4:$G$1003,$L42)="","",INDEX('Schedule'!$G$4:$G$1003,$L42)))</f>
        <v/>
      </c>
      <c r="G42" s="19">
        <f>IF($L42="","",IF(INDEX('Schedule'!$I$4:$I$1003,$L42)="","",INDEX('Schedule'!$I$4:$I$1003,$L42)))</f>
        <v/>
      </c>
      <c r="H42" s="21">
        <f>IF($L42="","",IF(INDEX('Schedule'!$J$4:$J$1003,$L42)="","",INDEX('Schedule'!$J$4:$J$1003,$L42)))</f>
        <v/>
      </c>
      <c r="I42" s="16">
        <f>IF($L42="","",IF(INDEX('Schedule'!$M$4:$M$1003,$L42)="","",INDEX('Schedule'!$M$4:$M$1003,$L42)))</f>
        <v/>
      </c>
      <c r="J42" s="15" t="n"/>
      <c r="K42" s="15" t="n"/>
      <c r="L42">
        <f>IFERROR(MATCH(SMALL('Schedule'!$O$4:$O$1003,39),'Schedule'!$O$4:$O$1003,0),"")</f>
        <v/>
      </c>
    </row>
    <row r="43">
      <c r="A43" s="16">
        <f>IF($L43="","",40)</f>
        <v/>
      </c>
      <c r="B43" s="16">
        <f>IF($L43="","",IF(INDEX('Schedule'!$A$4:$A$1003,$L43)="","",INDEX('Schedule'!$A$4:$A$1003,$L43)))</f>
        <v/>
      </c>
      <c r="C43" s="16">
        <f>IF($B43="","",IFERROR(INDEX('Cars'!$F$4:$F$103,MATCH($B43,'Cars'!$A$4:$A$103,0))&amp;"",""))</f>
        <v/>
      </c>
      <c r="D43" s="16">
        <f>IF($L43="","",IF(INDEX('Schedule'!$C$4:$C$1003,$L43)="","",INDEX('Schedule'!$C$4:$C$1003,$L43)))</f>
        <v/>
      </c>
      <c r="E43" s="19">
        <f>IF($L43="","",IF(INDEX('Schedule'!$F$4:$F$1003,$L43)="","",INDEX('Schedule'!$F$4:$F$1003,$L43)))</f>
        <v/>
      </c>
      <c r="F43" s="20">
        <f>IF($L43="","",IF(INDEX('Schedule'!$G$4:$G$1003,$L43)="","",INDEX('Schedule'!$G$4:$G$1003,$L43)))</f>
        <v/>
      </c>
      <c r="G43" s="19">
        <f>IF($L43="","",IF(INDEX('Schedule'!$I$4:$I$1003,$L43)="","",INDEX('Schedule'!$I$4:$I$1003,$L43)))</f>
        <v/>
      </c>
      <c r="H43" s="21">
        <f>IF($L43="","",IF(INDEX('Schedule'!$J$4:$J$1003,$L43)="","",INDEX('Schedule'!$J$4:$J$1003,$L43)))</f>
        <v/>
      </c>
      <c r="I43" s="16">
        <f>IF($L43="","",IF(INDEX('Schedule'!$M$4:$M$1003,$L43)="","",INDEX('Schedule'!$M$4:$M$1003,$L43)))</f>
        <v/>
      </c>
      <c r="J43" s="15" t="n"/>
      <c r="K43" s="15" t="n"/>
      <c r="L43">
        <f>IFERROR(MATCH(SMALL('Schedule'!$O$4:$O$1003,40),'Schedule'!$O$4:$O$1003,0),"")</f>
        <v/>
      </c>
    </row>
    <row r="44">
      <c r="A44" s="16">
        <f>IF($L44="","",41)</f>
        <v/>
      </c>
      <c r="B44" s="16">
        <f>IF($L44="","",IF(INDEX('Schedule'!$A$4:$A$1003,$L44)="","",INDEX('Schedule'!$A$4:$A$1003,$L44)))</f>
        <v/>
      </c>
      <c r="C44" s="16">
        <f>IF($B44="","",IFERROR(INDEX('Cars'!$F$4:$F$103,MATCH($B44,'Cars'!$A$4:$A$103,0))&amp;"",""))</f>
        <v/>
      </c>
      <c r="D44" s="16">
        <f>IF($L44="","",IF(INDEX('Schedule'!$C$4:$C$1003,$L44)="","",INDEX('Schedule'!$C$4:$C$1003,$L44)))</f>
        <v/>
      </c>
      <c r="E44" s="19">
        <f>IF($L44="","",IF(INDEX('Schedule'!$F$4:$F$1003,$L44)="","",INDEX('Schedule'!$F$4:$F$1003,$L44)))</f>
        <v/>
      </c>
      <c r="F44" s="20">
        <f>IF($L44="","",IF(INDEX('Schedule'!$G$4:$G$1003,$L44)="","",INDEX('Schedule'!$G$4:$G$1003,$L44)))</f>
        <v/>
      </c>
      <c r="G44" s="19">
        <f>IF($L44="","",IF(INDEX('Schedule'!$I$4:$I$1003,$L44)="","",INDEX('Schedule'!$I$4:$I$1003,$L44)))</f>
        <v/>
      </c>
      <c r="H44" s="21">
        <f>IF($L44="","",IF(INDEX('Schedule'!$J$4:$J$1003,$L44)="","",INDEX('Schedule'!$J$4:$J$1003,$L44)))</f>
        <v/>
      </c>
      <c r="I44" s="16">
        <f>IF($L44="","",IF(INDEX('Schedule'!$M$4:$M$1003,$L44)="","",INDEX('Schedule'!$M$4:$M$1003,$L44)))</f>
        <v/>
      </c>
      <c r="J44" s="15" t="n"/>
      <c r="K44" s="15" t="n"/>
      <c r="L44">
        <f>IFERROR(MATCH(SMALL('Schedule'!$O$4:$O$1003,41),'Schedule'!$O$4:$O$1003,0),"")</f>
        <v/>
      </c>
    </row>
    <row r="45">
      <c r="A45" s="16">
        <f>IF($L45="","",42)</f>
        <v/>
      </c>
      <c r="B45" s="16">
        <f>IF($L45="","",IF(INDEX('Schedule'!$A$4:$A$1003,$L45)="","",INDEX('Schedule'!$A$4:$A$1003,$L45)))</f>
        <v/>
      </c>
      <c r="C45" s="16">
        <f>IF($B45="","",IFERROR(INDEX('Cars'!$F$4:$F$103,MATCH($B45,'Cars'!$A$4:$A$103,0))&amp;"",""))</f>
        <v/>
      </c>
      <c r="D45" s="16">
        <f>IF($L45="","",IF(INDEX('Schedule'!$C$4:$C$1003,$L45)="","",INDEX('Schedule'!$C$4:$C$1003,$L45)))</f>
        <v/>
      </c>
      <c r="E45" s="19">
        <f>IF($L45="","",IF(INDEX('Schedule'!$F$4:$F$1003,$L45)="","",INDEX('Schedule'!$F$4:$F$1003,$L45)))</f>
        <v/>
      </c>
      <c r="F45" s="20">
        <f>IF($L45="","",IF(INDEX('Schedule'!$G$4:$G$1003,$L45)="","",INDEX('Schedule'!$G$4:$G$1003,$L45)))</f>
        <v/>
      </c>
      <c r="G45" s="19">
        <f>IF($L45="","",IF(INDEX('Schedule'!$I$4:$I$1003,$L45)="","",INDEX('Schedule'!$I$4:$I$1003,$L45)))</f>
        <v/>
      </c>
      <c r="H45" s="21">
        <f>IF($L45="","",IF(INDEX('Schedule'!$J$4:$J$1003,$L45)="","",INDEX('Schedule'!$J$4:$J$1003,$L45)))</f>
        <v/>
      </c>
      <c r="I45" s="16">
        <f>IF($L45="","",IF(INDEX('Schedule'!$M$4:$M$1003,$L45)="","",INDEX('Schedule'!$M$4:$M$1003,$L45)))</f>
        <v/>
      </c>
      <c r="J45" s="15" t="n"/>
      <c r="K45" s="15" t="n"/>
      <c r="L45">
        <f>IFERROR(MATCH(SMALL('Schedule'!$O$4:$O$1003,42),'Schedule'!$O$4:$O$1003,0),"")</f>
        <v/>
      </c>
    </row>
    <row r="46">
      <c r="A46" s="16">
        <f>IF($L46="","",43)</f>
        <v/>
      </c>
      <c r="B46" s="16">
        <f>IF($L46="","",IF(INDEX('Schedule'!$A$4:$A$1003,$L46)="","",INDEX('Schedule'!$A$4:$A$1003,$L46)))</f>
        <v/>
      </c>
      <c r="C46" s="16">
        <f>IF($B46="","",IFERROR(INDEX('Cars'!$F$4:$F$103,MATCH($B46,'Cars'!$A$4:$A$103,0))&amp;"",""))</f>
        <v/>
      </c>
      <c r="D46" s="16">
        <f>IF($L46="","",IF(INDEX('Schedule'!$C$4:$C$1003,$L46)="","",INDEX('Schedule'!$C$4:$C$1003,$L46)))</f>
        <v/>
      </c>
      <c r="E46" s="19">
        <f>IF($L46="","",IF(INDEX('Schedule'!$F$4:$F$1003,$L46)="","",INDEX('Schedule'!$F$4:$F$1003,$L46)))</f>
        <v/>
      </c>
      <c r="F46" s="20">
        <f>IF($L46="","",IF(INDEX('Schedule'!$G$4:$G$1003,$L46)="","",INDEX('Schedule'!$G$4:$G$1003,$L46)))</f>
        <v/>
      </c>
      <c r="G46" s="19">
        <f>IF($L46="","",IF(INDEX('Schedule'!$I$4:$I$1003,$L46)="","",INDEX('Schedule'!$I$4:$I$1003,$L46)))</f>
        <v/>
      </c>
      <c r="H46" s="21">
        <f>IF($L46="","",IF(INDEX('Schedule'!$J$4:$J$1003,$L46)="","",INDEX('Schedule'!$J$4:$J$1003,$L46)))</f>
        <v/>
      </c>
      <c r="I46" s="16">
        <f>IF($L46="","",IF(INDEX('Schedule'!$M$4:$M$1003,$L46)="","",INDEX('Schedule'!$M$4:$M$1003,$L46)))</f>
        <v/>
      </c>
      <c r="J46" s="15" t="n"/>
      <c r="K46" s="15" t="n"/>
      <c r="L46">
        <f>IFERROR(MATCH(SMALL('Schedule'!$O$4:$O$1003,43),'Schedule'!$O$4:$O$1003,0),"")</f>
        <v/>
      </c>
    </row>
    <row r="47">
      <c r="A47" s="16">
        <f>IF($L47="","",44)</f>
        <v/>
      </c>
      <c r="B47" s="16">
        <f>IF($L47="","",IF(INDEX('Schedule'!$A$4:$A$1003,$L47)="","",INDEX('Schedule'!$A$4:$A$1003,$L47)))</f>
        <v/>
      </c>
      <c r="C47" s="16">
        <f>IF($B47="","",IFERROR(INDEX('Cars'!$F$4:$F$103,MATCH($B47,'Cars'!$A$4:$A$103,0))&amp;"",""))</f>
        <v/>
      </c>
      <c r="D47" s="16">
        <f>IF($L47="","",IF(INDEX('Schedule'!$C$4:$C$1003,$L47)="","",INDEX('Schedule'!$C$4:$C$1003,$L47)))</f>
        <v/>
      </c>
      <c r="E47" s="19">
        <f>IF($L47="","",IF(INDEX('Schedule'!$F$4:$F$1003,$L47)="","",INDEX('Schedule'!$F$4:$F$1003,$L47)))</f>
        <v/>
      </c>
      <c r="F47" s="20">
        <f>IF($L47="","",IF(INDEX('Schedule'!$G$4:$G$1003,$L47)="","",INDEX('Schedule'!$G$4:$G$1003,$L47)))</f>
        <v/>
      </c>
      <c r="G47" s="19">
        <f>IF($L47="","",IF(INDEX('Schedule'!$I$4:$I$1003,$L47)="","",INDEX('Schedule'!$I$4:$I$1003,$L47)))</f>
        <v/>
      </c>
      <c r="H47" s="21">
        <f>IF($L47="","",IF(INDEX('Schedule'!$J$4:$J$1003,$L47)="","",INDEX('Schedule'!$J$4:$J$1003,$L47)))</f>
        <v/>
      </c>
      <c r="I47" s="16">
        <f>IF($L47="","",IF(INDEX('Schedule'!$M$4:$M$1003,$L47)="","",INDEX('Schedule'!$M$4:$M$1003,$L47)))</f>
        <v/>
      </c>
      <c r="J47" s="15" t="n"/>
      <c r="K47" s="15" t="n"/>
      <c r="L47">
        <f>IFERROR(MATCH(SMALL('Schedule'!$O$4:$O$1003,44),'Schedule'!$O$4:$O$1003,0),"")</f>
        <v/>
      </c>
    </row>
    <row r="48">
      <c r="A48" s="16">
        <f>IF($L48="","",45)</f>
        <v/>
      </c>
      <c r="B48" s="16">
        <f>IF($L48="","",IF(INDEX('Schedule'!$A$4:$A$1003,$L48)="","",INDEX('Schedule'!$A$4:$A$1003,$L48)))</f>
        <v/>
      </c>
      <c r="C48" s="16">
        <f>IF($B48="","",IFERROR(INDEX('Cars'!$F$4:$F$103,MATCH($B48,'Cars'!$A$4:$A$103,0))&amp;"",""))</f>
        <v/>
      </c>
      <c r="D48" s="16">
        <f>IF($L48="","",IF(INDEX('Schedule'!$C$4:$C$1003,$L48)="","",INDEX('Schedule'!$C$4:$C$1003,$L48)))</f>
        <v/>
      </c>
      <c r="E48" s="19">
        <f>IF($L48="","",IF(INDEX('Schedule'!$F$4:$F$1003,$L48)="","",INDEX('Schedule'!$F$4:$F$1003,$L48)))</f>
        <v/>
      </c>
      <c r="F48" s="20">
        <f>IF($L48="","",IF(INDEX('Schedule'!$G$4:$G$1003,$L48)="","",INDEX('Schedule'!$G$4:$G$1003,$L48)))</f>
        <v/>
      </c>
      <c r="G48" s="19">
        <f>IF($L48="","",IF(INDEX('Schedule'!$I$4:$I$1003,$L48)="","",INDEX('Schedule'!$I$4:$I$1003,$L48)))</f>
        <v/>
      </c>
      <c r="H48" s="21">
        <f>IF($L48="","",IF(INDEX('Schedule'!$J$4:$J$1003,$L48)="","",INDEX('Schedule'!$J$4:$J$1003,$L48)))</f>
        <v/>
      </c>
      <c r="I48" s="16">
        <f>IF($L48="","",IF(INDEX('Schedule'!$M$4:$M$1003,$L48)="","",INDEX('Schedule'!$M$4:$M$1003,$L48)))</f>
        <v/>
      </c>
      <c r="J48" s="15" t="n"/>
      <c r="K48" s="15" t="n"/>
      <c r="L48">
        <f>IFERROR(MATCH(SMALL('Schedule'!$O$4:$O$1003,45),'Schedule'!$O$4:$O$1003,0),"")</f>
        <v/>
      </c>
    </row>
    <row r="49">
      <c r="A49" s="16">
        <f>IF($L49="","",46)</f>
        <v/>
      </c>
      <c r="B49" s="16">
        <f>IF($L49="","",IF(INDEX('Schedule'!$A$4:$A$1003,$L49)="","",INDEX('Schedule'!$A$4:$A$1003,$L49)))</f>
        <v/>
      </c>
      <c r="C49" s="16">
        <f>IF($B49="","",IFERROR(INDEX('Cars'!$F$4:$F$103,MATCH($B49,'Cars'!$A$4:$A$103,0))&amp;"",""))</f>
        <v/>
      </c>
      <c r="D49" s="16">
        <f>IF($L49="","",IF(INDEX('Schedule'!$C$4:$C$1003,$L49)="","",INDEX('Schedule'!$C$4:$C$1003,$L49)))</f>
        <v/>
      </c>
      <c r="E49" s="19">
        <f>IF($L49="","",IF(INDEX('Schedule'!$F$4:$F$1003,$L49)="","",INDEX('Schedule'!$F$4:$F$1003,$L49)))</f>
        <v/>
      </c>
      <c r="F49" s="20">
        <f>IF($L49="","",IF(INDEX('Schedule'!$G$4:$G$1003,$L49)="","",INDEX('Schedule'!$G$4:$G$1003,$L49)))</f>
        <v/>
      </c>
      <c r="G49" s="19">
        <f>IF($L49="","",IF(INDEX('Schedule'!$I$4:$I$1003,$L49)="","",INDEX('Schedule'!$I$4:$I$1003,$L49)))</f>
        <v/>
      </c>
      <c r="H49" s="21">
        <f>IF($L49="","",IF(INDEX('Schedule'!$J$4:$J$1003,$L49)="","",INDEX('Schedule'!$J$4:$J$1003,$L49)))</f>
        <v/>
      </c>
      <c r="I49" s="16">
        <f>IF($L49="","",IF(INDEX('Schedule'!$M$4:$M$1003,$L49)="","",INDEX('Schedule'!$M$4:$M$1003,$L49)))</f>
        <v/>
      </c>
      <c r="J49" s="15" t="n"/>
      <c r="K49" s="15" t="n"/>
      <c r="L49">
        <f>IFERROR(MATCH(SMALL('Schedule'!$O$4:$O$1003,46),'Schedule'!$O$4:$O$1003,0),"")</f>
        <v/>
      </c>
    </row>
    <row r="50">
      <c r="A50" s="16">
        <f>IF($L50="","",47)</f>
        <v/>
      </c>
      <c r="B50" s="16">
        <f>IF($L50="","",IF(INDEX('Schedule'!$A$4:$A$1003,$L50)="","",INDEX('Schedule'!$A$4:$A$1003,$L50)))</f>
        <v/>
      </c>
      <c r="C50" s="16">
        <f>IF($B50="","",IFERROR(INDEX('Cars'!$F$4:$F$103,MATCH($B50,'Cars'!$A$4:$A$103,0))&amp;"",""))</f>
        <v/>
      </c>
      <c r="D50" s="16">
        <f>IF($L50="","",IF(INDEX('Schedule'!$C$4:$C$1003,$L50)="","",INDEX('Schedule'!$C$4:$C$1003,$L50)))</f>
        <v/>
      </c>
      <c r="E50" s="19">
        <f>IF($L50="","",IF(INDEX('Schedule'!$F$4:$F$1003,$L50)="","",INDEX('Schedule'!$F$4:$F$1003,$L50)))</f>
        <v/>
      </c>
      <c r="F50" s="20">
        <f>IF($L50="","",IF(INDEX('Schedule'!$G$4:$G$1003,$L50)="","",INDEX('Schedule'!$G$4:$G$1003,$L50)))</f>
        <v/>
      </c>
      <c r="G50" s="19">
        <f>IF($L50="","",IF(INDEX('Schedule'!$I$4:$I$1003,$L50)="","",INDEX('Schedule'!$I$4:$I$1003,$L50)))</f>
        <v/>
      </c>
      <c r="H50" s="21">
        <f>IF($L50="","",IF(INDEX('Schedule'!$J$4:$J$1003,$L50)="","",INDEX('Schedule'!$J$4:$J$1003,$L50)))</f>
        <v/>
      </c>
      <c r="I50" s="16">
        <f>IF($L50="","",IF(INDEX('Schedule'!$M$4:$M$1003,$L50)="","",INDEX('Schedule'!$M$4:$M$1003,$L50)))</f>
        <v/>
      </c>
      <c r="J50" s="15" t="n"/>
      <c r="K50" s="15" t="n"/>
      <c r="L50">
        <f>IFERROR(MATCH(SMALL('Schedule'!$O$4:$O$1003,47),'Schedule'!$O$4:$O$1003,0),"")</f>
        <v/>
      </c>
    </row>
    <row r="51">
      <c r="A51" s="16">
        <f>IF($L51="","",48)</f>
        <v/>
      </c>
      <c r="B51" s="16">
        <f>IF($L51="","",IF(INDEX('Schedule'!$A$4:$A$1003,$L51)="","",INDEX('Schedule'!$A$4:$A$1003,$L51)))</f>
        <v/>
      </c>
      <c r="C51" s="16">
        <f>IF($B51="","",IFERROR(INDEX('Cars'!$F$4:$F$103,MATCH($B51,'Cars'!$A$4:$A$103,0))&amp;"",""))</f>
        <v/>
      </c>
      <c r="D51" s="16">
        <f>IF($L51="","",IF(INDEX('Schedule'!$C$4:$C$1003,$L51)="","",INDEX('Schedule'!$C$4:$C$1003,$L51)))</f>
        <v/>
      </c>
      <c r="E51" s="19">
        <f>IF($L51="","",IF(INDEX('Schedule'!$F$4:$F$1003,$L51)="","",INDEX('Schedule'!$F$4:$F$1003,$L51)))</f>
        <v/>
      </c>
      <c r="F51" s="20">
        <f>IF($L51="","",IF(INDEX('Schedule'!$G$4:$G$1003,$L51)="","",INDEX('Schedule'!$G$4:$G$1003,$L51)))</f>
        <v/>
      </c>
      <c r="G51" s="19">
        <f>IF($L51="","",IF(INDEX('Schedule'!$I$4:$I$1003,$L51)="","",INDEX('Schedule'!$I$4:$I$1003,$L51)))</f>
        <v/>
      </c>
      <c r="H51" s="21">
        <f>IF($L51="","",IF(INDEX('Schedule'!$J$4:$J$1003,$L51)="","",INDEX('Schedule'!$J$4:$J$1003,$L51)))</f>
        <v/>
      </c>
      <c r="I51" s="16">
        <f>IF($L51="","",IF(INDEX('Schedule'!$M$4:$M$1003,$L51)="","",INDEX('Schedule'!$M$4:$M$1003,$L51)))</f>
        <v/>
      </c>
      <c r="J51" s="15" t="n"/>
      <c r="K51" s="15" t="n"/>
      <c r="L51">
        <f>IFERROR(MATCH(SMALL('Schedule'!$O$4:$O$1003,48),'Schedule'!$O$4:$O$1003,0),"")</f>
        <v/>
      </c>
    </row>
    <row r="52">
      <c r="A52" s="16">
        <f>IF($L52="","",49)</f>
        <v/>
      </c>
      <c r="B52" s="16">
        <f>IF($L52="","",IF(INDEX('Schedule'!$A$4:$A$1003,$L52)="","",INDEX('Schedule'!$A$4:$A$1003,$L52)))</f>
        <v/>
      </c>
      <c r="C52" s="16">
        <f>IF($B52="","",IFERROR(INDEX('Cars'!$F$4:$F$103,MATCH($B52,'Cars'!$A$4:$A$103,0))&amp;"",""))</f>
        <v/>
      </c>
      <c r="D52" s="16">
        <f>IF($L52="","",IF(INDEX('Schedule'!$C$4:$C$1003,$L52)="","",INDEX('Schedule'!$C$4:$C$1003,$L52)))</f>
        <v/>
      </c>
      <c r="E52" s="19">
        <f>IF($L52="","",IF(INDEX('Schedule'!$F$4:$F$1003,$L52)="","",INDEX('Schedule'!$F$4:$F$1003,$L52)))</f>
        <v/>
      </c>
      <c r="F52" s="20">
        <f>IF($L52="","",IF(INDEX('Schedule'!$G$4:$G$1003,$L52)="","",INDEX('Schedule'!$G$4:$G$1003,$L52)))</f>
        <v/>
      </c>
      <c r="G52" s="19">
        <f>IF($L52="","",IF(INDEX('Schedule'!$I$4:$I$1003,$L52)="","",INDEX('Schedule'!$I$4:$I$1003,$L52)))</f>
        <v/>
      </c>
      <c r="H52" s="21">
        <f>IF($L52="","",IF(INDEX('Schedule'!$J$4:$J$1003,$L52)="","",INDEX('Schedule'!$J$4:$J$1003,$L52)))</f>
        <v/>
      </c>
      <c r="I52" s="16">
        <f>IF($L52="","",IF(INDEX('Schedule'!$M$4:$M$1003,$L52)="","",INDEX('Schedule'!$M$4:$M$1003,$L52)))</f>
        <v/>
      </c>
      <c r="J52" s="15" t="n"/>
      <c r="K52" s="15" t="n"/>
      <c r="L52">
        <f>IFERROR(MATCH(SMALL('Schedule'!$O$4:$O$1003,49),'Schedule'!$O$4:$O$1003,0),"")</f>
        <v/>
      </c>
    </row>
    <row r="53">
      <c r="A53" s="16">
        <f>IF($L53="","",50)</f>
        <v/>
      </c>
      <c r="B53" s="16">
        <f>IF($L53="","",IF(INDEX('Schedule'!$A$4:$A$1003,$L53)="","",INDEX('Schedule'!$A$4:$A$1003,$L53)))</f>
        <v/>
      </c>
      <c r="C53" s="16">
        <f>IF($B53="","",IFERROR(INDEX('Cars'!$F$4:$F$103,MATCH($B53,'Cars'!$A$4:$A$103,0))&amp;"",""))</f>
        <v/>
      </c>
      <c r="D53" s="16">
        <f>IF($L53="","",IF(INDEX('Schedule'!$C$4:$C$1003,$L53)="","",INDEX('Schedule'!$C$4:$C$1003,$L53)))</f>
        <v/>
      </c>
      <c r="E53" s="19">
        <f>IF($L53="","",IF(INDEX('Schedule'!$F$4:$F$1003,$L53)="","",INDEX('Schedule'!$F$4:$F$1003,$L53)))</f>
        <v/>
      </c>
      <c r="F53" s="20">
        <f>IF($L53="","",IF(INDEX('Schedule'!$G$4:$G$1003,$L53)="","",INDEX('Schedule'!$G$4:$G$1003,$L53)))</f>
        <v/>
      </c>
      <c r="G53" s="19">
        <f>IF($L53="","",IF(INDEX('Schedule'!$I$4:$I$1003,$L53)="","",INDEX('Schedule'!$I$4:$I$1003,$L53)))</f>
        <v/>
      </c>
      <c r="H53" s="21">
        <f>IF($L53="","",IF(INDEX('Schedule'!$J$4:$J$1003,$L53)="","",INDEX('Schedule'!$J$4:$J$1003,$L53)))</f>
        <v/>
      </c>
      <c r="I53" s="16">
        <f>IF($L53="","",IF(INDEX('Schedule'!$M$4:$M$1003,$L53)="","",INDEX('Schedule'!$M$4:$M$1003,$L53)))</f>
        <v/>
      </c>
      <c r="J53" s="15" t="n"/>
      <c r="K53" s="15" t="n"/>
      <c r="L53">
        <f>IFERROR(MATCH(SMALL('Schedule'!$O$4:$O$1003,50),'Schedule'!$O$4:$O$1003,0),"")</f>
        <v/>
      </c>
    </row>
    <row r="54">
      <c r="A54" s="16">
        <f>IF($L54="","",51)</f>
        <v/>
      </c>
      <c r="B54" s="16">
        <f>IF($L54="","",IF(INDEX('Schedule'!$A$4:$A$1003,$L54)="","",INDEX('Schedule'!$A$4:$A$1003,$L54)))</f>
        <v/>
      </c>
      <c r="C54" s="16">
        <f>IF($B54="","",IFERROR(INDEX('Cars'!$F$4:$F$103,MATCH($B54,'Cars'!$A$4:$A$103,0))&amp;"",""))</f>
        <v/>
      </c>
      <c r="D54" s="16">
        <f>IF($L54="","",IF(INDEX('Schedule'!$C$4:$C$1003,$L54)="","",INDEX('Schedule'!$C$4:$C$1003,$L54)))</f>
        <v/>
      </c>
      <c r="E54" s="19">
        <f>IF($L54="","",IF(INDEX('Schedule'!$F$4:$F$1003,$L54)="","",INDEX('Schedule'!$F$4:$F$1003,$L54)))</f>
        <v/>
      </c>
      <c r="F54" s="20">
        <f>IF($L54="","",IF(INDEX('Schedule'!$G$4:$G$1003,$L54)="","",INDEX('Schedule'!$G$4:$G$1003,$L54)))</f>
        <v/>
      </c>
      <c r="G54" s="19">
        <f>IF($L54="","",IF(INDEX('Schedule'!$I$4:$I$1003,$L54)="","",INDEX('Schedule'!$I$4:$I$1003,$L54)))</f>
        <v/>
      </c>
      <c r="H54" s="21">
        <f>IF($L54="","",IF(INDEX('Schedule'!$J$4:$J$1003,$L54)="","",INDEX('Schedule'!$J$4:$J$1003,$L54)))</f>
        <v/>
      </c>
      <c r="I54" s="16">
        <f>IF($L54="","",IF(INDEX('Schedule'!$M$4:$M$1003,$L54)="","",INDEX('Schedule'!$M$4:$M$1003,$L54)))</f>
        <v/>
      </c>
      <c r="J54" s="15" t="n"/>
      <c r="K54" s="15" t="n"/>
      <c r="L54">
        <f>IFERROR(MATCH(SMALL('Schedule'!$O$4:$O$1003,51),'Schedule'!$O$4:$O$1003,0),"")</f>
        <v/>
      </c>
    </row>
    <row r="55">
      <c r="A55" s="16">
        <f>IF($L55="","",52)</f>
        <v/>
      </c>
      <c r="B55" s="16">
        <f>IF($L55="","",IF(INDEX('Schedule'!$A$4:$A$1003,$L55)="","",INDEX('Schedule'!$A$4:$A$1003,$L55)))</f>
        <v/>
      </c>
      <c r="C55" s="16">
        <f>IF($B55="","",IFERROR(INDEX('Cars'!$F$4:$F$103,MATCH($B55,'Cars'!$A$4:$A$103,0))&amp;"",""))</f>
        <v/>
      </c>
      <c r="D55" s="16">
        <f>IF($L55="","",IF(INDEX('Schedule'!$C$4:$C$1003,$L55)="","",INDEX('Schedule'!$C$4:$C$1003,$L55)))</f>
        <v/>
      </c>
      <c r="E55" s="19">
        <f>IF($L55="","",IF(INDEX('Schedule'!$F$4:$F$1003,$L55)="","",INDEX('Schedule'!$F$4:$F$1003,$L55)))</f>
        <v/>
      </c>
      <c r="F55" s="20">
        <f>IF($L55="","",IF(INDEX('Schedule'!$G$4:$G$1003,$L55)="","",INDEX('Schedule'!$G$4:$G$1003,$L55)))</f>
        <v/>
      </c>
      <c r="G55" s="19">
        <f>IF($L55="","",IF(INDEX('Schedule'!$I$4:$I$1003,$L55)="","",INDEX('Schedule'!$I$4:$I$1003,$L55)))</f>
        <v/>
      </c>
      <c r="H55" s="21">
        <f>IF($L55="","",IF(INDEX('Schedule'!$J$4:$J$1003,$L55)="","",INDEX('Schedule'!$J$4:$J$1003,$L55)))</f>
        <v/>
      </c>
      <c r="I55" s="16">
        <f>IF($L55="","",IF(INDEX('Schedule'!$M$4:$M$1003,$L55)="","",INDEX('Schedule'!$M$4:$M$1003,$L55)))</f>
        <v/>
      </c>
      <c r="J55" s="15" t="n"/>
      <c r="K55" s="15" t="n"/>
      <c r="L55">
        <f>IFERROR(MATCH(SMALL('Schedule'!$O$4:$O$1003,52),'Schedule'!$O$4:$O$1003,0),"")</f>
        <v/>
      </c>
    </row>
    <row r="56">
      <c r="A56" s="16">
        <f>IF($L56="","",53)</f>
        <v/>
      </c>
      <c r="B56" s="16">
        <f>IF($L56="","",IF(INDEX('Schedule'!$A$4:$A$1003,$L56)="","",INDEX('Schedule'!$A$4:$A$1003,$L56)))</f>
        <v/>
      </c>
      <c r="C56" s="16">
        <f>IF($B56="","",IFERROR(INDEX('Cars'!$F$4:$F$103,MATCH($B56,'Cars'!$A$4:$A$103,0))&amp;"",""))</f>
        <v/>
      </c>
      <c r="D56" s="16">
        <f>IF($L56="","",IF(INDEX('Schedule'!$C$4:$C$1003,$L56)="","",INDEX('Schedule'!$C$4:$C$1003,$L56)))</f>
        <v/>
      </c>
      <c r="E56" s="19">
        <f>IF($L56="","",IF(INDEX('Schedule'!$F$4:$F$1003,$L56)="","",INDEX('Schedule'!$F$4:$F$1003,$L56)))</f>
        <v/>
      </c>
      <c r="F56" s="20">
        <f>IF($L56="","",IF(INDEX('Schedule'!$G$4:$G$1003,$L56)="","",INDEX('Schedule'!$G$4:$G$1003,$L56)))</f>
        <v/>
      </c>
      <c r="G56" s="19">
        <f>IF($L56="","",IF(INDEX('Schedule'!$I$4:$I$1003,$L56)="","",INDEX('Schedule'!$I$4:$I$1003,$L56)))</f>
        <v/>
      </c>
      <c r="H56" s="21">
        <f>IF($L56="","",IF(INDEX('Schedule'!$J$4:$J$1003,$L56)="","",INDEX('Schedule'!$J$4:$J$1003,$L56)))</f>
        <v/>
      </c>
      <c r="I56" s="16">
        <f>IF($L56="","",IF(INDEX('Schedule'!$M$4:$M$1003,$L56)="","",INDEX('Schedule'!$M$4:$M$1003,$L56)))</f>
        <v/>
      </c>
      <c r="J56" s="15" t="n"/>
      <c r="K56" s="15" t="n"/>
      <c r="L56">
        <f>IFERROR(MATCH(SMALL('Schedule'!$O$4:$O$1003,53),'Schedule'!$O$4:$O$1003,0),"")</f>
        <v/>
      </c>
    </row>
    <row r="57">
      <c r="A57" s="16">
        <f>IF($L57="","",54)</f>
        <v/>
      </c>
      <c r="B57" s="16">
        <f>IF($L57="","",IF(INDEX('Schedule'!$A$4:$A$1003,$L57)="","",INDEX('Schedule'!$A$4:$A$1003,$L57)))</f>
        <v/>
      </c>
      <c r="C57" s="16">
        <f>IF($B57="","",IFERROR(INDEX('Cars'!$F$4:$F$103,MATCH($B57,'Cars'!$A$4:$A$103,0))&amp;"",""))</f>
        <v/>
      </c>
      <c r="D57" s="16">
        <f>IF($L57="","",IF(INDEX('Schedule'!$C$4:$C$1003,$L57)="","",INDEX('Schedule'!$C$4:$C$1003,$L57)))</f>
        <v/>
      </c>
      <c r="E57" s="19">
        <f>IF($L57="","",IF(INDEX('Schedule'!$F$4:$F$1003,$L57)="","",INDEX('Schedule'!$F$4:$F$1003,$L57)))</f>
        <v/>
      </c>
      <c r="F57" s="20">
        <f>IF($L57="","",IF(INDEX('Schedule'!$G$4:$G$1003,$L57)="","",INDEX('Schedule'!$G$4:$G$1003,$L57)))</f>
        <v/>
      </c>
      <c r="G57" s="19">
        <f>IF($L57="","",IF(INDEX('Schedule'!$I$4:$I$1003,$L57)="","",INDEX('Schedule'!$I$4:$I$1003,$L57)))</f>
        <v/>
      </c>
      <c r="H57" s="21">
        <f>IF($L57="","",IF(INDEX('Schedule'!$J$4:$J$1003,$L57)="","",INDEX('Schedule'!$J$4:$J$1003,$L57)))</f>
        <v/>
      </c>
      <c r="I57" s="16">
        <f>IF($L57="","",IF(INDEX('Schedule'!$M$4:$M$1003,$L57)="","",INDEX('Schedule'!$M$4:$M$1003,$L57)))</f>
        <v/>
      </c>
      <c r="J57" s="15" t="n"/>
      <c r="K57" s="15" t="n"/>
      <c r="L57">
        <f>IFERROR(MATCH(SMALL('Schedule'!$O$4:$O$1003,54),'Schedule'!$O$4:$O$1003,0),"")</f>
        <v/>
      </c>
    </row>
    <row r="58">
      <c r="A58" s="16">
        <f>IF($L58="","",55)</f>
        <v/>
      </c>
      <c r="B58" s="16">
        <f>IF($L58="","",IF(INDEX('Schedule'!$A$4:$A$1003,$L58)="","",INDEX('Schedule'!$A$4:$A$1003,$L58)))</f>
        <v/>
      </c>
      <c r="C58" s="16">
        <f>IF($B58="","",IFERROR(INDEX('Cars'!$F$4:$F$103,MATCH($B58,'Cars'!$A$4:$A$103,0))&amp;"",""))</f>
        <v/>
      </c>
      <c r="D58" s="16">
        <f>IF($L58="","",IF(INDEX('Schedule'!$C$4:$C$1003,$L58)="","",INDEX('Schedule'!$C$4:$C$1003,$L58)))</f>
        <v/>
      </c>
      <c r="E58" s="19">
        <f>IF($L58="","",IF(INDEX('Schedule'!$F$4:$F$1003,$L58)="","",INDEX('Schedule'!$F$4:$F$1003,$L58)))</f>
        <v/>
      </c>
      <c r="F58" s="20">
        <f>IF($L58="","",IF(INDEX('Schedule'!$G$4:$G$1003,$L58)="","",INDEX('Schedule'!$G$4:$G$1003,$L58)))</f>
        <v/>
      </c>
      <c r="G58" s="19">
        <f>IF($L58="","",IF(INDEX('Schedule'!$I$4:$I$1003,$L58)="","",INDEX('Schedule'!$I$4:$I$1003,$L58)))</f>
        <v/>
      </c>
      <c r="H58" s="21">
        <f>IF($L58="","",IF(INDEX('Schedule'!$J$4:$J$1003,$L58)="","",INDEX('Schedule'!$J$4:$J$1003,$L58)))</f>
        <v/>
      </c>
      <c r="I58" s="16">
        <f>IF($L58="","",IF(INDEX('Schedule'!$M$4:$M$1003,$L58)="","",INDEX('Schedule'!$M$4:$M$1003,$L58)))</f>
        <v/>
      </c>
      <c r="J58" s="15" t="n"/>
      <c r="K58" s="15" t="n"/>
      <c r="L58">
        <f>IFERROR(MATCH(SMALL('Schedule'!$O$4:$O$1003,55),'Schedule'!$O$4:$O$1003,0),"")</f>
        <v/>
      </c>
    </row>
    <row r="59">
      <c r="A59" s="16">
        <f>IF($L59="","",56)</f>
        <v/>
      </c>
      <c r="B59" s="16">
        <f>IF($L59="","",IF(INDEX('Schedule'!$A$4:$A$1003,$L59)="","",INDEX('Schedule'!$A$4:$A$1003,$L59)))</f>
        <v/>
      </c>
      <c r="C59" s="16">
        <f>IF($B59="","",IFERROR(INDEX('Cars'!$F$4:$F$103,MATCH($B59,'Cars'!$A$4:$A$103,0))&amp;"",""))</f>
        <v/>
      </c>
      <c r="D59" s="16">
        <f>IF($L59="","",IF(INDEX('Schedule'!$C$4:$C$1003,$L59)="","",INDEX('Schedule'!$C$4:$C$1003,$L59)))</f>
        <v/>
      </c>
      <c r="E59" s="19">
        <f>IF($L59="","",IF(INDEX('Schedule'!$F$4:$F$1003,$L59)="","",INDEX('Schedule'!$F$4:$F$1003,$L59)))</f>
        <v/>
      </c>
      <c r="F59" s="20">
        <f>IF($L59="","",IF(INDEX('Schedule'!$G$4:$G$1003,$L59)="","",INDEX('Schedule'!$G$4:$G$1003,$L59)))</f>
        <v/>
      </c>
      <c r="G59" s="19">
        <f>IF($L59="","",IF(INDEX('Schedule'!$I$4:$I$1003,$L59)="","",INDEX('Schedule'!$I$4:$I$1003,$L59)))</f>
        <v/>
      </c>
      <c r="H59" s="21">
        <f>IF($L59="","",IF(INDEX('Schedule'!$J$4:$J$1003,$L59)="","",INDEX('Schedule'!$J$4:$J$1003,$L59)))</f>
        <v/>
      </c>
      <c r="I59" s="16">
        <f>IF($L59="","",IF(INDEX('Schedule'!$M$4:$M$1003,$L59)="","",INDEX('Schedule'!$M$4:$M$1003,$L59)))</f>
        <v/>
      </c>
      <c r="J59" s="15" t="n"/>
      <c r="K59" s="15" t="n"/>
      <c r="L59">
        <f>IFERROR(MATCH(SMALL('Schedule'!$O$4:$O$1003,56),'Schedule'!$O$4:$O$1003,0),"")</f>
        <v/>
      </c>
    </row>
    <row r="60">
      <c r="A60" s="16">
        <f>IF($L60="","",57)</f>
        <v/>
      </c>
      <c r="B60" s="16">
        <f>IF($L60="","",IF(INDEX('Schedule'!$A$4:$A$1003,$L60)="","",INDEX('Schedule'!$A$4:$A$1003,$L60)))</f>
        <v/>
      </c>
      <c r="C60" s="16">
        <f>IF($B60="","",IFERROR(INDEX('Cars'!$F$4:$F$103,MATCH($B60,'Cars'!$A$4:$A$103,0))&amp;"",""))</f>
        <v/>
      </c>
      <c r="D60" s="16">
        <f>IF($L60="","",IF(INDEX('Schedule'!$C$4:$C$1003,$L60)="","",INDEX('Schedule'!$C$4:$C$1003,$L60)))</f>
        <v/>
      </c>
      <c r="E60" s="19">
        <f>IF($L60="","",IF(INDEX('Schedule'!$F$4:$F$1003,$L60)="","",INDEX('Schedule'!$F$4:$F$1003,$L60)))</f>
        <v/>
      </c>
      <c r="F60" s="20">
        <f>IF($L60="","",IF(INDEX('Schedule'!$G$4:$G$1003,$L60)="","",INDEX('Schedule'!$G$4:$G$1003,$L60)))</f>
        <v/>
      </c>
      <c r="G60" s="19">
        <f>IF($L60="","",IF(INDEX('Schedule'!$I$4:$I$1003,$L60)="","",INDEX('Schedule'!$I$4:$I$1003,$L60)))</f>
        <v/>
      </c>
      <c r="H60" s="21">
        <f>IF($L60="","",IF(INDEX('Schedule'!$J$4:$J$1003,$L60)="","",INDEX('Schedule'!$J$4:$J$1003,$L60)))</f>
        <v/>
      </c>
      <c r="I60" s="16">
        <f>IF($L60="","",IF(INDEX('Schedule'!$M$4:$M$1003,$L60)="","",INDEX('Schedule'!$M$4:$M$1003,$L60)))</f>
        <v/>
      </c>
      <c r="J60" s="15" t="n"/>
      <c r="K60" s="15" t="n"/>
      <c r="L60">
        <f>IFERROR(MATCH(SMALL('Schedule'!$O$4:$O$1003,57),'Schedule'!$O$4:$O$1003,0),"")</f>
        <v/>
      </c>
    </row>
    <row r="61">
      <c r="A61" s="16">
        <f>IF($L61="","",58)</f>
        <v/>
      </c>
      <c r="B61" s="16">
        <f>IF($L61="","",IF(INDEX('Schedule'!$A$4:$A$1003,$L61)="","",INDEX('Schedule'!$A$4:$A$1003,$L61)))</f>
        <v/>
      </c>
      <c r="C61" s="16">
        <f>IF($B61="","",IFERROR(INDEX('Cars'!$F$4:$F$103,MATCH($B61,'Cars'!$A$4:$A$103,0))&amp;"",""))</f>
        <v/>
      </c>
      <c r="D61" s="16">
        <f>IF($L61="","",IF(INDEX('Schedule'!$C$4:$C$1003,$L61)="","",INDEX('Schedule'!$C$4:$C$1003,$L61)))</f>
        <v/>
      </c>
      <c r="E61" s="19">
        <f>IF($L61="","",IF(INDEX('Schedule'!$F$4:$F$1003,$L61)="","",INDEX('Schedule'!$F$4:$F$1003,$L61)))</f>
        <v/>
      </c>
      <c r="F61" s="20">
        <f>IF($L61="","",IF(INDEX('Schedule'!$G$4:$G$1003,$L61)="","",INDEX('Schedule'!$G$4:$G$1003,$L61)))</f>
        <v/>
      </c>
      <c r="G61" s="19">
        <f>IF($L61="","",IF(INDEX('Schedule'!$I$4:$I$1003,$L61)="","",INDEX('Schedule'!$I$4:$I$1003,$L61)))</f>
        <v/>
      </c>
      <c r="H61" s="21">
        <f>IF($L61="","",IF(INDEX('Schedule'!$J$4:$J$1003,$L61)="","",INDEX('Schedule'!$J$4:$J$1003,$L61)))</f>
        <v/>
      </c>
      <c r="I61" s="16">
        <f>IF($L61="","",IF(INDEX('Schedule'!$M$4:$M$1003,$L61)="","",INDEX('Schedule'!$M$4:$M$1003,$L61)))</f>
        <v/>
      </c>
      <c r="J61" s="15" t="n"/>
      <c r="K61" s="15" t="n"/>
      <c r="L61">
        <f>IFERROR(MATCH(SMALL('Schedule'!$O$4:$O$1003,58),'Schedule'!$O$4:$O$1003,0),"")</f>
        <v/>
      </c>
    </row>
    <row r="62">
      <c r="A62" s="16">
        <f>IF($L62="","",59)</f>
        <v/>
      </c>
      <c r="B62" s="16">
        <f>IF($L62="","",IF(INDEX('Schedule'!$A$4:$A$1003,$L62)="","",INDEX('Schedule'!$A$4:$A$1003,$L62)))</f>
        <v/>
      </c>
      <c r="C62" s="16">
        <f>IF($B62="","",IFERROR(INDEX('Cars'!$F$4:$F$103,MATCH($B62,'Cars'!$A$4:$A$103,0))&amp;"",""))</f>
        <v/>
      </c>
      <c r="D62" s="16">
        <f>IF($L62="","",IF(INDEX('Schedule'!$C$4:$C$1003,$L62)="","",INDEX('Schedule'!$C$4:$C$1003,$L62)))</f>
        <v/>
      </c>
      <c r="E62" s="19">
        <f>IF($L62="","",IF(INDEX('Schedule'!$F$4:$F$1003,$L62)="","",INDEX('Schedule'!$F$4:$F$1003,$L62)))</f>
        <v/>
      </c>
      <c r="F62" s="20">
        <f>IF($L62="","",IF(INDEX('Schedule'!$G$4:$G$1003,$L62)="","",INDEX('Schedule'!$G$4:$G$1003,$L62)))</f>
        <v/>
      </c>
      <c r="G62" s="19">
        <f>IF($L62="","",IF(INDEX('Schedule'!$I$4:$I$1003,$L62)="","",INDEX('Schedule'!$I$4:$I$1003,$L62)))</f>
        <v/>
      </c>
      <c r="H62" s="21">
        <f>IF($L62="","",IF(INDEX('Schedule'!$J$4:$J$1003,$L62)="","",INDEX('Schedule'!$J$4:$J$1003,$L62)))</f>
        <v/>
      </c>
      <c r="I62" s="16">
        <f>IF($L62="","",IF(INDEX('Schedule'!$M$4:$M$1003,$L62)="","",INDEX('Schedule'!$M$4:$M$1003,$L62)))</f>
        <v/>
      </c>
      <c r="J62" s="15" t="n"/>
      <c r="K62" s="15" t="n"/>
      <c r="L62">
        <f>IFERROR(MATCH(SMALL('Schedule'!$O$4:$O$1003,59),'Schedule'!$O$4:$O$1003,0),"")</f>
        <v/>
      </c>
    </row>
    <row r="63">
      <c r="A63" s="16">
        <f>IF($L63="","",60)</f>
        <v/>
      </c>
      <c r="B63" s="16">
        <f>IF($L63="","",IF(INDEX('Schedule'!$A$4:$A$1003,$L63)="","",INDEX('Schedule'!$A$4:$A$1003,$L63)))</f>
        <v/>
      </c>
      <c r="C63" s="16">
        <f>IF($B63="","",IFERROR(INDEX('Cars'!$F$4:$F$103,MATCH($B63,'Cars'!$A$4:$A$103,0))&amp;"",""))</f>
        <v/>
      </c>
      <c r="D63" s="16">
        <f>IF($L63="","",IF(INDEX('Schedule'!$C$4:$C$1003,$L63)="","",INDEX('Schedule'!$C$4:$C$1003,$L63)))</f>
        <v/>
      </c>
      <c r="E63" s="19">
        <f>IF($L63="","",IF(INDEX('Schedule'!$F$4:$F$1003,$L63)="","",INDEX('Schedule'!$F$4:$F$1003,$L63)))</f>
        <v/>
      </c>
      <c r="F63" s="20">
        <f>IF($L63="","",IF(INDEX('Schedule'!$G$4:$G$1003,$L63)="","",INDEX('Schedule'!$G$4:$G$1003,$L63)))</f>
        <v/>
      </c>
      <c r="G63" s="19">
        <f>IF($L63="","",IF(INDEX('Schedule'!$I$4:$I$1003,$L63)="","",INDEX('Schedule'!$I$4:$I$1003,$L63)))</f>
        <v/>
      </c>
      <c r="H63" s="21">
        <f>IF($L63="","",IF(INDEX('Schedule'!$J$4:$J$1003,$L63)="","",INDEX('Schedule'!$J$4:$J$1003,$L63)))</f>
        <v/>
      </c>
      <c r="I63" s="16">
        <f>IF($L63="","",IF(INDEX('Schedule'!$M$4:$M$1003,$L63)="","",INDEX('Schedule'!$M$4:$M$1003,$L63)))</f>
        <v/>
      </c>
      <c r="J63" s="15" t="n"/>
      <c r="K63" s="15" t="n"/>
      <c r="L63">
        <f>IFERROR(MATCH(SMALL('Schedule'!$O$4:$O$1003,60),'Schedule'!$O$4:$O$1003,0),"")</f>
        <v/>
      </c>
    </row>
    <row r="64">
      <c r="A64" s="16">
        <f>IF($L64="","",61)</f>
        <v/>
      </c>
      <c r="B64" s="16">
        <f>IF($L64="","",IF(INDEX('Schedule'!$A$4:$A$1003,$L64)="","",INDEX('Schedule'!$A$4:$A$1003,$L64)))</f>
        <v/>
      </c>
      <c r="C64" s="16">
        <f>IF($B64="","",IFERROR(INDEX('Cars'!$F$4:$F$103,MATCH($B64,'Cars'!$A$4:$A$103,0))&amp;"",""))</f>
        <v/>
      </c>
      <c r="D64" s="16">
        <f>IF($L64="","",IF(INDEX('Schedule'!$C$4:$C$1003,$L64)="","",INDEX('Schedule'!$C$4:$C$1003,$L64)))</f>
        <v/>
      </c>
      <c r="E64" s="19">
        <f>IF($L64="","",IF(INDEX('Schedule'!$F$4:$F$1003,$L64)="","",INDEX('Schedule'!$F$4:$F$1003,$L64)))</f>
        <v/>
      </c>
      <c r="F64" s="20">
        <f>IF($L64="","",IF(INDEX('Schedule'!$G$4:$G$1003,$L64)="","",INDEX('Schedule'!$G$4:$G$1003,$L64)))</f>
        <v/>
      </c>
      <c r="G64" s="19">
        <f>IF($L64="","",IF(INDEX('Schedule'!$I$4:$I$1003,$L64)="","",INDEX('Schedule'!$I$4:$I$1003,$L64)))</f>
        <v/>
      </c>
      <c r="H64" s="21">
        <f>IF($L64="","",IF(INDEX('Schedule'!$J$4:$J$1003,$L64)="","",INDEX('Schedule'!$J$4:$J$1003,$L64)))</f>
        <v/>
      </c>
      <c r="I64" s="16">
        <f>IF($L64="","",IF(INDEX('Schedule'!$M$4:$M$1003,$L64)="","",INDEX('Schedule'!$M$4:$M$1003,$L64)))</f>
        <v/>
      </c>
      <c r="J64" s="15" t="n"/>
      <c r="K64" s="15" t="n"/>
      <c r="L64">
        <f>IFERROR(MATCH(SMALL('Schedule'!$O$4:$O$1003,61),'Schedule'!$O$4:$O$1003,0),"")</f>
        <v/>
      </c>
    </row>
    <row r="65">
      <c r="A65" s="16">
        <f>IF($L65="","",62)</f>
        <v/>
      </c>
      <c r="B65" s="16">
        <f>IF($L65="","",IF(INDEX('Schedule'!$A$4:$A$1003,$L65)="","",INDEX('Schedule'!$A$4:$A$1003,$L65)))</f>
        <v/>
      </c>
      <c r="C65" s="16">
        <f>IF($B65="","",IFERROR(INDEX('Cars'!$F$4:$F$103,MATCH($B65,'Cars'!$A$4:$A$103,0))&amp;"",""))</f>
        <v/>
      </c>
      <c r="D65" s="16">
        <f>IF($L65="","",IF(INDEX('Schedule'!$C$4:$C$1003,$L65)="","",INDEX('Schedule'!$C$4:$C$1003,$L65)))</f>
        <v/>
      </c>
      <c r="E65" s="19">
        <f>IF($L65="","",IF(INDEX('Schedule'!$F$4:$F$1003,$L65)="","",INDEX('Schedule'!$F$4:$F$1003,$L65)))</f>
        <v/>
      </c>
      <c r="F65" s="20">
        <f>IF($L65="","",IF(INDEX('Schedule'!$G$4:$G$1003,$L65)="","",INDEX('Schedule'!$G$4:$G$1003,$L65)))</f>
        <v/>
      </c>
      <c r="G65" s="19">
        <f>IF($L65="","",IF(INDEX('Schedule'!$I$4:$I$1003,$L65)="","",INDEX('Schedule'!$I$4:$I$1003,$L65)))</f>
        <v/>
      </c>
      <c r="H65" s="21">
        <f>IF($L65="","",IF(INDEX('Schedule'!$J$4:$J$1003,$L65)="","",INDEX('Schedule'!$J$4:$J$1003,$L65)))</f>
        <v/>
      </c>
      <c r="I65" s="16">
        <f>IF($L65="","",IF(INDEX('Schedule'!$M$4:$M$1003,$L65)="","",INDEX('Schedule'!$M$4:$M$1003,$L65)))</f>
        <v/>
      </c>
      <c r="J65" s="15" t="n"/>
      <c r="K65" s="15" t="n"/>
      <c r="L65">
        <f>IFERROR(MATCH(SMALL('Schedule'!$O$4:$O$1003,62),'Schedule'!$O$4:$O$1003,0),"")</f>
        <v/>
      </c>
    </row>
    <row r="66">
      <c r="A66" s="16">
        <f>IF($L66="","",63)</f>
        <v/>
      </c>
      <c r="B66" s="16">
        <f>IF($L66="","",IF(INDEX('Schedule'!$A$4:$A$1003,$L66)="","",INDEX('Schedule'!$A$4:$A$1003,$L66)))</f>
        <v/>
      </c>
      <c r="C66" s="16">
        <f>IF($B66="","",IFERROR(INDEX('Cars'!$F$4:$F$103,MATCH($B66,'Cars'!$A$4:$A$103,0))&amp;"",""))</f>
        <v/>
      </c>
      <c r="D66" s="16">
        <f>IF($L66="","",IF(INDEX('Schedule'!$C$4:$C$1003,$L66)="","",INDEX('Schedule'!$C$4:$C$1003,$L66)))</f>
        <v/>
      </c>
      <c r="E66" s="19">
        <f>IF($L66="","",IF(INDEX('Schedule'!$F$4:$F$1003,$L66)="","",INDEX('Schedule'!$F$4:$F$1003,$L66)))</f>
        <v/>
      </c>
      <c r="F66" s="20">
        <f>IF($L66="","",IF(INDEX('Schedule'!$G$4:$G$1003,$L66)="","",INDEX('Schedule'!$G$4:$G$1003,$L66)))</f>
        <v/>
      </c>
      <c r="G66" s="19">
        <f>IF($L66="","",IF(INDEX('Schedule'!$I$4:$I$1003,$L66)="","",INDEX('Schedule'!$I$4:$I$1003,$L66)))</f>
        <v/>
      </c>
      <c r="H66" s="21">
        <f>IF($L66="","",IF(INDEX('Schedule'!$J$4:$J$1003,$L66)="","",INDEX('Schedule'!$J$4:$J$1003,$L66)))</f>
        <v/>
      </c>
      <c r="I66" s="16">
        <f>IF($L66="","",IF(INDEX('Schedule'!$M$4:$M$1003,$L66)="","",INDEX('Schedule'!$M$4:$M$1003,$L66)))</f>
        <v/>
      </c>
      <c r="J66" s="15" t="n"/>
      <c r="K66" s="15" t="n"/>
      <c r="L66">
        <f>IFERROR(MATCH(SMALL('Schedule'!$O$4:$O$1003,63),'Schedule'!$O$4:$O$1003,0),"")</f>
        <v/>
      </c>
    </row>
    <row r="67">
      <c r="A67" s="16">
        <f>IF($L67="","",64)</f>
        <v/>
      </c>
      <c r="B67" s="16">
        <f>IF($L67="","",IF(INDEX('Schedule'!$A$4:$A$1003,$L67)="","",INDEX('Schedule'!$A$4:$A$1003,$L67)))</f>
        <v/>
      </c>
      <c r="C67" s="16">
        <f>IF($B67="","",IFERROR(INDEX('Cars'!$F$4:$F$103,MATCH($B67,'Cars'!$A$4:$A$103,0))&amp;"",""))</f>
        <v/>
      </c>
      <c r="D67" s="16">
        <f>IF($L67="","",IF(INDEX('Schedule'!$C$4:$C$1003,$L67)="","",INDEX('Schedule'!$C$4:$C$1003,$L67)))</f>
        <v/>
      </c>
      <c r="E67" s="19">
        <f>IF($L67="","",IF(INDEX('Schedule'!$F$4:$F$1003,$L67)="","",INDEX('Schedule'!$F$4:$F$1003,$L67)))</f>
        <v/>
      </c>
      <c r="F67" s="20">
        <f>IF($L67="","",IF(INDEX('Schedule'!$G$4:$G$1003,$L67)="","",INDEX('Schedule'!$G$4:$G$1003,$L67)))</f>
        <v/>
      </c>
      <c r="G67" s="19">
        <f>IF($L67="","",IF(INDEX('Schedule'!$I$4:$I$1003,$L67)="","",INDEX('Schedule'!$I$4:$I$1003,$L67)))</f>
        <v/>
      </c>
      <c r="H67" s="21">
        <f>IF($L67="","",IF(INDEX('Schedule'!$J$4:$J$1003,$L67)="","",INDEX('Schedule'!$J$4:$J$1003,$L67)))</f>
        <v/>
      </c>
      <c r="I67" s="16">
        <f>IF($L67="","",IF(INDEX('Schedule'!$M$4:$M$1003,$L67)="","",INDEX('Schedule'!$M$4:$M$1003,$L67)))</f>
        <v/>
      </c>
      <c r="J67" s="15" t="n"/>
      <c r="K67" s="15" t="n"/>
      <c r="L67">
        <f>IFERROR(MATCH(SMALL('Schedule'!$O$4:$O$1003,64),'Schedule'!$O$4:$O$1003,0),"")</f>
        <v/>
      </c>
    </row>
    <row r="68">
      <c r="A68" s="16">
        <f>IF($L68="","",65)</f>
        <v/>
      </c>
      <c r="B68" s="16">
        <f>IF($L68="","",IF(INDEX('Schedule'!$A$4:$A$1003,$L68)="","",INDEX('Schedule'!$A$4:$A$1003,$L68)))</f>
        <v/>
      </c>
      <c r="C68" s="16">
        <f>IF($B68="","",IFERROR(INDEX('Cars'!$F$4:$F$103,MATCH($B68,'Cars'!$A$4:$A$103,0))&amp;"",""))</f>
        <v/>
      </c>
      <c r="D68" s="16">
        <f>IF($L68="","",IF(INDEX('Schedule'!$C$4:$C$1003,$L68)="","",INDEX('Schedule'!$C$4:$C$1003,$L68)))</f>
        <v/>
      </c>
      <c r="E68" s="19">
        <f>IF($L68="","",IF(INDEX('Schedule'!$F$4:$F$1003,$L68)="","",INDEX('Schedule'!$F$4:$F$1003,$L68)))</f>
        <v/>
      </c>
      <c r="F68" s="20">
        <f>IF($L68="","",IF(INDEX('Schedule'!$G$4:$G$1003,$L68)="","",INDEX('Schedule'!$G$4:$G$1003,$L68)))</f>
        <v/>
      </c>
      <c r="G68" s="19">
        <f>IF($L68="","",IF(INDEX('Schedule'!$I$4:$I$1003,$L68)="","",INDEX('Schedule'!$I$4:$I$1003,$L68)))</f>
        <v/>
      </c>
      <c r="H68" s="21">
        <f>IF($L68="","",IF(INDEX('Schedule'!$J$4:$J$1003,$L68)="","",INDEX('Schedule'!$J$4:$J$1003,$L68)))</f>
        <v/>
      </c>
      <c r="I68" s="16">
        <f>IF($L68="","",IF(INDEX('Schedule'!$M$4:$M$1003,$L68)="","",INDEX('Schedule'!$M$4:$M$1003,$L68)))</f>
        <v/>
      </c>
      <c r="J68" s="15" t="n"/>
      <c r="K68" s="15" t="n"/>
      <c r="L68">
        <f>IFERROR(MATCH(SMALL('Schedule'!$O$4:$O$1003,65),'Schedule'!$O$4:$O$1003,0),"")</f>
        <v/>
      </c>
    </row>
    <row r="69">
      <c r="A69" s="16">
        <f>IF($L69="","",66)</f>
        <v/>
      </c>
      <c r="B69" s="16">
        <f>IF($L69="","",IF(INDEX('Schedule'!$A$4:$A$1003,$L69)="","",INDEX('Schedule'!$A$4:$A$1003,$L69)))</f>
        <v/>
      </c>
      <c r="C69" s="16">
        <f>IF($B69="","",IFERROR(INDEX('Cars'!$F$4:$F$103,MATCH($B69,'Cars'!$A$4:$A$103,0))&amp;"",""))</f>
        <v/>
      </c>
      <c r="D69" s="16">
        <f>IF($L69="","",IF(INDEX('Schedule'!$C$4:$C$1003,$L69)="","",INDEX('Schedule'!$C$4:$C$1003,$L69)))</f>
        <v/>
      </c>
      <c r="E69" s="19">
        <f>IF($L69="","",IF(INDEX('Schedule'!$F$4:$F$1003,$L69)="","",INDEX('Schedule'!$F$4:$F$1003,$L69)))</f>
        <v/>
      </c>
      <c r="F69" s="20">
        <f>IF($L69="","",IF(INDEX('Schedule'!$G$4:$G$1003,$L69)="","",INDEX('Schedule'!$G$4:$G$1003,$L69)))</f>
        <v/>
      </c>
      <c r="G69" s="19">
        <f>IF($L69="","",IF(INDEX('Schedule'!$I$4:$I$1003,$L69)="","",INDEX('Schedule'!$I$4:$I$1003,$L69)))</f>
        <v/>
      </c>
      <c r="H69" s="21">
        <f>IF($L69="","",IF(INDEX('Schedule'!$J$4:$J$1003,$L69)="","",INDEX('Schedule'!$J$4:$J$1003,$L69)))</f>
        <v/>
      </c>
      <c r="I69" s="16">
        <f>IF($L69="","",IF(INDEX('Schedule'!$M$4:$M$1003,$L69)="","",INDEX('Schedule'!$M$4:$M$1003,$L69)))</f>
        <v/>
      </c>
      <c r="J69" s="15" t="n"/>
      <c r="K69" s="15" t="n"/>
      <c r="L69">
        <f>IFERROR(MATCH(SMALL('Schedule'!$O$4:$O$1003,66),'Schedule'!$O$4:$O$1003,0),"")</f>
        <v/>
      </c>
    </row>
    <row r="70">
      <c r="A70" s="16">
        <f>IF($L70="","",67)</f>
        <v/>
      </c>
      <c r="B70" s="16">
        <f>IF($L70="","",IF(INDEX('Schedule'!$A$4:$A$1003,$L70)="","",INDEX('Schedule'!$A$4:$A$1003,$L70)))</f>
        <v/>
      </c>
      <c r="C70" s="16">
        <f>IF($B70="","",IFERROR(INDEX('Cars'!$F$4:$F$103,MATCH($B70,'Cars'!$A$4:$A$103,0))&amp;"",""))</f>
        <v/>
      </c>
      <c r="D70" s="16">
        <f>IF($L70="","",IF(INDEX('Schedule'!$C$4:$C$1003,$L70)="","",INDEX('Schedule'!$C$4:$C$1003,$L70)))</f>
        <v/>
      </c>
      <c r="E70" s="19">
        <f>IF($L70="","",IF(INDEX('Schedule'!$F$4:$F$1003,$L70)="","",INDEX('Schedule'!$F$4:$F$1003,$L70)))</f>
        <v/>
      </c>
      <c r="F70" s="20">
        <f>IF($L70="","",IF(INDEX('Schedule'!$G$4:$G$1003,$L70)="","",INDEX('Schedule'!$G$4:$G$1003,$L70)))</f>
        <v/>
      </c>
      <c r="G70" s="19">
        <f>IF($L70="","",IF(INDEX('Schedule'!$I$4:$I$1003,$L70)="","",INDEX('Schedule'!$I$4:$I$1003,$L70)))</f>
        <v/>
      </c>
      <c r="H70" s="21">
        <f>IF($L70="","",IF(INDEX('Schedule'!$J$4:$J$1003,$L70)="","",INDEX('Schedule'!$J$4:$J$1003,$L70)))</f>
        <v/>
      </c>
      <c r="I70" s="16">
        <f>IF($L70="","",IF(INDEX('Schedule'!$M$4:$M$1003,$L70)="","",INDEX('Schedule'!$M$4:$M$1003,$L70)))</f>
        <v/>
      </c>
      <c r="J70" s="15" t="n"/>
      <c r="K70" s="15" t="n"/>
      <c r="L70">
        <f>IFERROR(MATCH(SMALL('Schedule'!$O$4:$O$1003,67),'Schedule'!$O$4:$O$1003,0),"")</f>
        <v/>
      </c>
    </row>
    <row r="71">
      <c r="A71" s="16">
        <f>IF($L71="","",68)</f>
        <v/>
      </c>
      <c r="B71" s="16">
        <f>IF($L71="","",IF(INDEX('Schedule'!$A$4:$A$1003,$L71)="","",INDEX('Schedule'!$A$4:$A$1003,$L71)))</f>
        <v/>
      </c>
      <c r="C71" s="16">
        <f>IF($B71="","",IFERROR(INDEX('Cars'!$F$4:$F$103,MATCH($B71,'Cars'!$A$4:$A$103,0))&amp;"",""))</f>
        <v/>
      </c>
      <c r="D71" s="16">
        <f>IF($L71="","",IF(INDEX('Schedule'!$C$4:$C$1003,$L71)="","",INDEX('Schedule'!$C$4:$C$1003,$L71)))</f>
        <v/>
      </c>
      <c r="E71" s="19">
        <f>IF($L71="","",IF(INDEX('Schedule'!$F$4:$F$1003,$L71)="","",INDEX('Schedule'!$F$4:$F$1003,$L71)))</f>
        <v/>
      </c>
      <c r="F71" s="20">
        <f>IF($L71="","",IF(INDEX('Schedule'!$G$4:$G$1003,$L71)="","",INDEX('Schedule'!$G$4:$G$1003,$L71)))</f>
        <v/>
      </c>
      <c r="G71" s="19">
        <f>IF($L71="","",IF(INDEX('Schedule'!$I$4:$I$1003,$L71)="","",INDEX('Schedule'!$I$4:$I$1003,$L71)))</f>
        <v/>
      </c>
      <c r="H71" s="21">
        <f>IF($L71="","",IF(INDEX('Schedule'!$J$4:$J$1003,$L71)="","",INDEX('Schedule'!$J$4:$J$1003,$L71)))</f>
        <v/>
      </c>
      <c r="I71" s="16">
        <f>IF($L71="","",IF(INDEX('Schedule'!$M$4:$M$1003,$L71)="","",INDEX('Schedule'!$M$4:$M$1003,$L71)))</f>
        <v/>
      </c>
      <c r="J71" s="15" t="n"/>
      <c r="K71" s="15" t="n"/>
      <c r="L71">
        <f>IFERROR(MATCH(SMALL('Schedule'!$O$4:$O$1003,68),'Schedule'!$O$4:$O$1003,0),"")</f>
        <v/>
      </c>
    </row>
    <row r="72">
      <c r="A72" s="16">
        <f>IF($L72="","",69)</f>
        <v/>
      </c>
      <c r="B72" s="16">
        <f>IF($L72="","",IF(INDEX('Schedule'!$A$4:$A$1003,$L72)="","",INDEX('Schedule'!$A$4:$A$1003,$L72)))</f>
        <v/>
      </c>
      <c r="C72" s="16">
        <f>IF($B72="","",IFERROR(INDEX('Cars'!$F$4:$F$103,MATCH($B72,'Cars'!$A$4:$A$103,0))&amp;"",""))</f>
        <v/>
      </c>
      <c r="D72" s="16">
        <f>IF($L72="","",IF(INDEX('Schedule'!$C$4:$C$1003,$L72)="","",INDEX('Schedule'!$C$4:$C$1003,$L72)))</f>
        <v/>
      </c>
      <c r="E72" s="19">
        <f>IF($L72="","",IF(INDEX('Schedule'!$F$4:$F$1003,$L72)="","",INDEX('Schedule'!$F$4:$F$1003,$L72)))</f>
        <v/>
      </c>
      <c r="F72" s="20">
        <f>IF($L72="","",IF(INDEX('Schedule'!$G$4:$G$1003,$L72)="","",INDEX('Schedule'!$G$4:$G$1003,$L72)))</f>
        <v/>
      </c>
      <c r="G72" s="19">
        <f>IF($L72="","",IF(INDEX('Schedule'!$I$4:$I$1003,$L72)="","",INDEX('Schedule'!$I$4:$I$1003,$L72)))</f>
        <v/>
      </c>
      <c r="H72" s="21">
        <f>IF($L72="","",IF(INDEX('Schedule'!$J$4:$J$1003,$L72)="","",INDEX('Schedule'!$J$4:$J$1003,$L72)))</f>
        <v/>
      </c>
      <c r="I72" s="16">
        <f>IF($L72="","",IF(INDEX('Schedule'!$M$4:$M$1003,$L72)="","",INDEX('Schedule'!$M$4:$M$1003,$L72)))</f>
        <v/>
      </c>
      <c r="J72" s="15" t="n"/>
      <c r="K72" s="15" t="n"/>
      <c r="L72">
        <f>IFERROR(MATCH(SMALL('Schedule'!$O$4:$O$1003,69),'Schedule'!$O$4:$O$1003,0),"")</f>
        <v/>
      </c>
    </row>
    <row r="73">
      <c r="A73" s="16">
        <f>IF($L73="","",70)</f>
        <v/>
      </c>
      <c r="B73" s="16">
        <f>IF($L73="","",IF(INDEX('Schedule'!$A$4:$A$1003,$L73)="","",INDEX('Schedule'!$A$4:$A$1003,$L73)))</f>
        <v/>
      </c>
      <c r="C73" s="16">
        <f>IF($B73="","",IFERROR(INDEX('Cars'!$F$4:$F$103,MATCH($B73,'Cars'!$A$4:$A$103,0))&amp;"",""))</f>
        <v/>
      </c>
      <c r="D73" s="16">
        <f>IF($L73="","",IF(INDEX('Schedule'!$C$4:$C$1003,$L73)="","",INDEX('Schedule'!$C$4:$C$1003,$L73)))</f>
        <v/>
      </c>
      <c r="E73" s="19">
        <f>IF($L73="","",IF(INDEX('Schedule'!$F$4:$F$1003,$L73)="","",INDEX('Schedule'!$F$4:$F$1003,$L73)))</f>
        <v/>
      </c>
      <c r="F73" s="20">
        <f>IF($L73="","",IF(INDEX('Schedule'!$G$4:$G$1003,$L73)="","",INDEX('Schedule'!$G$4:$G$1003,$L73)))</f>
        <v/>
      </c>
      <c r="G73" s="19">
        <f>IF($L73="","",IF(INDEX('Schedule'!$I$4:$I$1003,$L73)="","",INDEX('Schedule'!$I$4:$I$1003,$L73)))</f>
        <v/>
      </c>
      <c r="H73" s="21">
        <f>IF($L73="","",IF(INDEX('Schedule'!$J$4:$J$1003,$L73)="","",INDEX('Schedule'!$J$4:$J$1003,$L73)))</f>
        <v/>
      </c>
      <c r="I73" s="16">
        <f>IF($L73="","",IF(INDEX('Schedule'!$M$4:$M$1003,$L73)="","",INDEX('Schedule'!$M$4:$M$1003,$L73)))</f>
        <v/>
      </c>
      <c r="J73" s="15" t="n"/>
      <c r="K73" s="15" t="n"/>
      <c r="L73">
        <f>IFERROR(MATCH(SMALL('Schedule'!$O$4:$O$1003,70),'Schedule'!$O$4:$O$1003,0),"")</f>
        <v/>
      </c>
    </row>
    <row r="74">
      <c r="A74" s="16">
        <f>IF($L74="","",71)</f>
        <v/>
      </c>
      <c r="B74" s="16">
        <f>IF($L74="","",IF(INDEX('Schedule'!$A$4:$A$1003,$L74)="","",INDEX('Schedule'!$A$4:$A$1003,$L74)))</f>
        <v/>
      </c>
      <c r="C74" s="16">
        <f>IF($B74="","",IFERROR(INDEX('Cars'!$F$4:$F$103,MATCH($B74,'Cars'!$A$4:$A$103,0))&amp;"",""))</f>
        <v/>
      </c>
      <c r="D74" s="16">
        <f>IF($L74="","",IF(INDEX('Schedule'!$C$4:$C$1003,$L74)="","",INDEX('Schedule'!$C$4:$C$1003,$L74)))</f>
        <v/>
      </c>
      <c r="E74" s="19">
        <f>IF($L74="","",IF(INDEX('Schedule'!$F$4:$F$1003,$L74)="","",INDEX('Schedule'!$F$4:$F$1003,$L74)))</f>
        <v/>
      </c>
      <c r="F74" s="20">
        <f>IF($L74="","",IF(INDEX('Schedule'!$G$4:$G$1003,$L74)="","",INDEX('Schedule'!$G$4:$G$1003,$L74)))</f>
        <v/>
      </c>
      <c r="G74" s="19">
        <f>IF($L74="","",IF(INDEX('Schedule'!$I$4:$I$1003,$L74)="","",INDEX('Schedule'!$I$4:$I$1003,$L74)))</f>
        <v/>
      </c>
      <c r="H74" s="21">
        <f>IF($L74="","",IF(INDEX('Schedule'!$J$4:$J$1003,$L74)="","",INDEX('Schedule'!$J$4:$J$1003,$L74)))</f>
        <v/>
      </c>
      <c r="I74" s="16">
        <f>IF($L74="","",IF(INDEX('Schedule'!$M$4:$M$1003,$L74)="","",INDEX('Schedule'!$M$4:$M$1003,$L74)))</f>
        <v/>
      </c>
      <c r="J74" s="15" t="n"/>
      <c r="K74" s="15" t="n"/>
      <c r="L74">
        <f>IFERROR(MATCH(SMALL('Schedule'!$O$4:$O$1003,71),'Schedule'!$O$4:$O$1003,0),"")</f>
        <v/>
      </c>
    </row>
    <row r="75">
      <c r="A75" s="16">
        <f>IF($L75="","",72)</f>
        <v/>
      </c>
      <c r="B75" s="16">
        <f>IF($L75="","",IF(INDEX('Schedule'!$A$4:$A$1003,$L75)="","",INDEX('Schedule'!$A$4:$A$1003,$L75)))</f>
        <v/>
      </c>
      <c r="C75" s="16">
        <f>IF($B75="","",IFERROR(INDEX('Cars'!$F$4:$F$103,MATCH($B75,'Cars'!$A$4:$A$103,0))&amp;"",""))</f>
        <v/>
      </c>
      <c r="D75" s="16">
        <f>IF($L75="","",IF(INDEX('Schedule'!$C$4:$C$1003,$L75)="","",INDEX('Schedule'!$C$4:$C$1003,$L75)))</f>
        <v/>
      </c>
      <c r="E75" s="19">
        <f>IF($L75="","",IF(INDEX('Schedule'!$F$4:$F$1003,$L75)="","",INDEX('Schedule'!$F$4:$F$1003,$L75)))</f>
        <v/>
      </c>
      <c r="F75" s="20">
        <f>IF($L75="","",IF(INDEX('Schedule'!$G$4:$G$1003,$L75)="","",INDEX('Schedule'!$G$4:$G$1003,$L75)))</f>
        <v/>
      </c>
      <c r="G75" s="19">
        <f>IF($L75="","",IF(INDEX('Schedule'!$I$4:$I$1003,$L75)="","",INDEX('Schedule'!$I$4:$I$1003,$L75)))</f>
        <v/>
      </c>
      <c r="H75" s="21">
        <f>IF($L75="","",IF(INDEX('Schedule'!$J$4:$J$1003,$L75)="","",INDEX('Schedule'!$J$4:$J$1003,$L75)))</f>
        <v/>
      </c>
      <c r="I75" s="16">
        <f>IF($L75="","",IF(INDEX('Schedule'!$M$4:$M$1003,$L75)="","",INDEX('Schedule'!$M$4:$M$1003,$L75)))</f>
        <v/>
      </c>
      <c r="J75" s="15" t="n"/>
      <c r="K75" s="15" t="n"/>
      <c r="L75">
        <f>IFERROR(MATCH(SMALL('Schedule'!$O$4:$O$1003,72),'Schedule'!$O$4:$O$1003,0),"")</f>
        <v/>
      </c>
    </row>
    <row r="76">
      <c r="A76" s="16">
        <f>IF($L76="","",73)</f>
        <v/>
      </c>
      <c r="B76" s="16">
        <f>IF($L76="","",IF(INDEX('Schedule'!$A$4:$A$1003,$L76)="","",INDEX('Schedule'!$A$4:$A$1003,$L76)))</f>
        <v/>
      </c>
      <c r="C76" s="16">
        <f>IF($B76="","",IFERROR(INDEX('Cars'!$F$4:$F$103,MATCH($B76,'Cars'!$A$4:$A$103,0))&amp;"",""))</f>
        <v/>
      </c>
      <c r="D76" s="16">
        <f>IF($L76="","",IF(INDEX('Schedule'!$C$4:$C$1003,$L76)="","",INDEX('Schedule'!$C$4:$C$1003,$L76)))</f>
        <v/>
      </c>
      <c r="E76" s="19">
        <f>IF($L76="","",IF(INDEX('Schedule'!$F$4:$F$1003,$L76)="","",INDEX('Schedule'!$F$4:$F$1003,$L76)))</f>
        <v/>
      </c>
      <c r="F76" s="20">
        <f>IF($L76="","",IF(INDEX('Schedule'!$G$4:$G$1003,$L76)="","",INDEX('Schedule'!$G$4:$G$1003,$L76)))</f>
        <v/>
      </c>
      <c r="G76" s="19">
        <f>IF($L76="","",IF(INDEX('Schedule'!$I$4:$I$1003,$L76)="","",INDEX('Schedule'!$I$4:$I$1003,$L76)))</f>
        <v/>
      </c>
      <c r="H76" s="21">
        <f>IF($L76="","",IF(INDEX('Schedule'!$J$4:$J$1003,$L76)="","",INDEX('Schedule'!$J$4:$J$1003,$L76)))</f>
        <v/>
      </c>
      <c r="I76" s="16">
        <f>IF($L76="","",IF(INDEX('Schedule'!$M$4:$M$1003,$L76)="","",INDEX('Schedule'!$M$4:$M$1003,$L76)))</f>
        <v/>
      </c>
      <c r="J76" s="15" t="n"/>
      <c r="K76" s="15" t="n"/>
      <c r="L76">
        <f>IFERROR(MATCH(SMALL('Schedule'!$O$4:$O$1003,73),'Schedule'!$O$4:$O$1003,0),"")</f>
        <v/>
      </c>
    </row>
    <row r="77">
      <c r="A77" s="16">
        <f>IF($L77="","",74)</f>
        <v/>
      </c>
      <c r="B77" s="16">
        <f>IF($L77="","",IF(INDEX('Schedule'!$A$4:$A$1003,$L77)="","",INDEX('Schedule'!$A$4:$A$1003,$L77)))</f>
        <v/>
      </c>
      <c r="C77" s="16">
        <f>IF($B77="","",IFERROR(INDEX('Cars'!$F$4:$F$103,MATCH($B77,'Cars'!$A$4:$A$103,0))&amp;"",""))</f>
        <v/>
      </c>
      <c r="D77" s="16">
        <f>IF($L77="","",IF(INDEX('Schedule'!$C$4:$C$1003,$L77)="","",INDEX('Schedule'!$C$4:$C$1003,$L77)))</f>
        <v/>
      </c>
      <c r="E77" s="19">
        <f>IF($L77="","",IF(INDEX('Schedule'!$F$4:$F$1003,$L77)="","",INDEX('Schedule'!$F$4:$F$1003,$L77)))</f>
        <v/>
      </c>
      <c r="F77" s="20">
        <f>IF($L77="","",IF(INDEX('Schedule'!$G$4:$G$1003,$L77)="","",INDEX('Schedule'!$G$4:$G$1003,$L77)))</f>
        <v/>
      </c>
      <c r="G77" s="19">
        <f>IF($L77="","",IF(INDEX('Schedule'!$I$4:$I$1003,$L77)="","",INDEX('Schedule'!$I$4:$I$1003,$L77)))</f>
        <v/>
      </c>
      <c r="H77" s="21">
        <f>IF($L77="","",IF(INDEX('Schedule'!$J$4:$J$1003,$L77)="","",INDEX('Schedule'!$J$4:$J$1003,$L77)))</f>
        <v/>
      </c>
      <c r="I77" s="16">
        <f>IF($L77="","",IF(INDEX('Schedule'!$M$4:$M$1003,$L77)="","",INDEX('Schedule'!$M$4:$M$1003,$L77)))</f>
        <v/>
      </c>
      <c r="J77" s="15" t="n"/>
      <c r="K77" s="15" t="n"/>
      <c r="L77">
        <f>IFERROR(MATCH(SMALL('Schedule'!$O$4:$O$1003,74),'Schedule'!$O$4:$O$1003,0),"")</f>
        <v/>
      </c>
    </row>
    <row r="78">
      <c r="A78" s="16">
        <f>IF($L78="","",75)</f>
        <v/>
      </c>
      <c r="B78" s="16">
        <f>IF($L78="","",IF(INDEX('Schedule'!$A$4:$A$1003,$L78)="","",INDEX('Schedule'!$A$4:$A$1003,$L78)))</f>
        <v/>
      </c>
      <c r="C78" s="16">
        <f>IF($B78="","",IFERROR(INDEX('Cars'!$F$4:$F$103,MATCH($B78,'Cars'!$A$4:$A$103,0))&amp;"",""))</f>
        <v/>
      </c>
      <c r="D78" s="16">
        <f>IF($L78="","",IF(INDEX('Schedule'!$C$4:$C$1003,$L78)="","",INDEX('Schedule'!$C$4:$C$1003,$L78)))</f>
        <v/>
      </c>
      <c r="E78" s="19">
        <f>IF($L78="","",IF(INDEX('Schedule'!$F$4:$F$1003,$L78)="","",INDEX('Schedule'!$F$4:$F$1003,$L78)))</f>
        <v/>
      </c>
      <c r="F78" s="20">
        <f>IF($L78="","",IF(INDEX('Schedule'!$G$4:$G$1003,$L78)="","",INDEX('Schedule'!$G$4:$G$1003,$L78)))</f>
        <v/>
      </c>
      <c r="G78" s="19">
        <f>IF($L78="","",IF(INDEX('Schedule'!$I$4:$I$1003,$L78)="","",INDEX('Schedule'!$I$4:$I$1003,$L78)))</f>
        <v/>
      </c>
      <c r="H78" s="21">
        <f>IF($L78="","",IF(INDEX('Schedule'!$J$4:$J$1003,$L78)="","",INDEX('Schedule'!$J$4:$J$1003,$L78)))</f>
        <v/>
      </c>
      <c r="I78" s="16">
        <f>IF($L78="","",IF(INDEX('Schedule'!$M$4:$M$1003,$L78)="","",INDEX('Schedule'!$M$4:$M$1003,$L78)))</f>
        <v/>
      </c>
      <c r="J78" s="15" t="n"/>
      <c r="K78" s="15" t="n"/>
      <c r="L78">
        <f>IFERROR(MATCH(SMALL('Schedule'!$O$4:$O$1003,75),'Schedule'!$O$4:$O$1003,0),"")</f>
        <v/>
      </c>
    </row>
    <row r="79">
      <c r="A79" s="16">
        <f>IF($L79="","",76)</f>
        <v/>
      </c>
      <c r="B79" s="16">
        <f>IF($L79="","",IF(INDEX('Schedule'!$A$4:$A$1003,$L79)="","",INDEX('Schedule'!$A$4:$A$1003,$L79)))</f>
        <v/>
      </c>
      <c r="C79" s="16">
        <f>IF($B79="","",IFERROR(INDEX('Cars'!$F$4:$F$103,MATCH($B79,'Cars'!$A$4:$A$103,0))&amp;"",""))</f>
        <v/>
      </c>
      <c r="D79" s="16">
        <f>IF($L79="","",IF(INDEX('Schedule'!$C$4:$C$1003,$L79)="","",INDEX('Schedule'!$C$4:$C$1003,$L79)))</f>
        <v/>
      </c>
      <c r="E79" s="19">
        <f>IF($L79="","",IF(INDEX('Schedule'!$F$4:$F$1003,$L79)="","",INDEX('Schedule'!$F$4:$F$1003,$L79)))</f>
        <v/>
      </c>
      <c r="F79" s="20">
        <f>IF($L79="","",IF(INDEX('Schedule'!$G$4:$G$1003,$L79)="","",INDEX('Schedule'!$G$4:$G$1003,$L79)))</f>
        <v/>
      </c>
      <c r="G79" s="19">
        <f>IF($L79="","",IF(INDEX('Schedule'!$I$4:$I$1003,$L79)="","",INDEX('Schedule'!$I$4:$I$1003,$L79)))</f>
        <v/>
      </c>
      <c r="H79" s="21">
        <f>IF($L79="","",IF(INDEX('Schedule'!$J$4:$J$1003,$L79)="","",INDEX('Schedule'!$J$4:$J$1003,$L79)))</f>
        <v/>
      </c>
      <c r="I79" s="16">
        <f>IF($L79="","",IF(INDEX('Schedule'!$M$4:$M$1003,$L79)="","",INDEX('Schedule'!$M$4:$M$1003,$L79)))</f>
        <v/>
      </c>
      <c r="J79" s="15" t="n"/>
      <c r="K79" s="15" t="n"/>
      <c r="L79">
        <f>IFERROR(MATCH(SMALL('Schedule'!$O$4:$O$1003,76),'Schedule'!$O$4:$O$1003,0),"")</f>
        <v/>
      </c>
    </row>
    <row r="80">
      <c r="A80" s="16">
        <f>IF($L80="","",77)</f>
        <v/>
      </c>
      <c r="B80" s="16">
        <f>IF($L80="","",IF(INDEX('Schedule'!$A$4:$A$1003,$L80)="","",INDEX('Schedule'!$A$4:$A$1003,$L80)))</f>
        <v/>
      </c>
      <c r="C80" s="16">
        <f>IF($B80="","",IFERROR(INDEX('Cars'!$F$4:$F$103,MATCH($B80,'Cars'!$A$4:$A$103,0))&amp;"",""))</f>
        <v/>
      </c>
      <c r="D80" s="16">
        <f>IF($L80="","",IF(INDEX('Schedule'!$C$4:$C$1003,$L80)="","",INDEX('Schedule'!$C$4:$C$1003,$L80)))</f>
        <v/>
      </c>
      <c r="E80" s="19">
        <f>IF($L80="","",IF(INDEX('Schedule'!$F$4:$F$1003,$L80)="","",INDEX('Schedule'!$F$4:$F$1003,$L80)))</f>
        <v/>
      </c>
      <c r="F80" s="20">
        <f>IF($L80="","",IF(INDEX('Schedule'!$G$4:$G$1003,$L80)="","",INDEX('Schedule'!$G$4:$G$1003,$L80)))</f>
        <v/>
      </c>
      <c r="G80" s="19">
        <f>IF($L80="","",IF(INDEX('Schedule'!$I$4:$I$1003,$L80)="","",INDEX('Schedule'!$I$4:$I$1003,$L80)))</f>
        <v/>
      </c>
      <c r="H80" s="21">
        <f>IF($L80="","",IF(INDEX('Schedule'!$J$4:$J$1003,$L80)="","",INDEX('Schedule'!$J$4:$J$1003,$L80)))</f>
        <v/>
      </c>
      <c r="I80" s="16">
        <f>IF($L80="","",IF(INDEX('Schedule'!$M$4:$M$1003,$L80)="","",INDEX('Schedule'!$M$4:$M$1003,$L80)))</f>
        <v/>
      </c>
      <c r="J80" s="15" t="n"/>
      <c r="K80" s="15" t="n"/>
      <c r="L80">
        <f>IFERROR(MATCH(SMALL('Schedule'!$O$4:$O$1003,77),'Schedule'!$O$4:$O$1003,0),"")</f>
        <v/>
      </c>
    </row>
    <row r="81">
      <c r="A81" s="16">
        <f>IF($L81="","",78)</f>
        <v/>
      </c>
      <c r="B81" s="16">
        <f>IF($L81="","",IF(INDEX('Schedule'!$A$4:$A$1003,$L81)="","",INDEX('Schedule'!$A$4:$A$1003,$L81)))</f>
        <v/>
      </c>
      <c r="C81" s="16">
        <f>IF($B81="","",IFERROR(INDEX('Cars'!$F$4:$F$103,MATCH($B81,'Cars'!$A$4:$A$103,0))&amp;"",""))</f>
        <v/>
      </c>
      <c r="D81" s="16">
        <f>IF($L81="","",IF(INDEX('Schedule'!$C$4:$C$1003,$L81)="","",INDEX('Schedule'!$C$4:$C$1003,$L81)))</f>
        <v/>
      </c>
      <c r="E81" s="19">
        <f>IF($L81="","",IF(INDEX('Schedule'!$F$4:$F$1003,$L81)="","",INDEX('Schedule'!$F$4:$F$1003,$L81)))</f>
        <v/>
      </c>
      <c r="F81" s="20">
        <f>IF($L81="","",IF(INDEX('Schedule'!$G$4:$G$1003,$L81)="","",INDEX('Schedule'!$G$4:$G$1003,$L81)))</f>
        <v/>
      </c>
      <c r="G81" s="19">
        <f>IF($L81="","",IF(INDEX('Schedule'!$I$4:$I$1003,$L81)="","",INDEX('Schedule'!$I$4:$I$1003,$L81)))</f>
        <v/>
      </c>
      <c r="H81" s="21">
        <f>IF($L81="","",IF(INDEX('Schedule'!$J$4:$J$1003,$L81)="","",INDEX('Schedule'!$J$4:$J$1003,$L81)))</f>
        <v/>
      </c>
      <c r="I81" s="16">
        <f>IF($L81="","",IF(INDEX('Schedule'!$M$4:$M$1003,$L81)="","",INDEX('Schedule'!$M$4:$M$1003,$L81)))</f>
        <v/>
      </c>
      <c r="J81" s="15" t="n"/>
      <c r="K81" s="15" t="n"/>
      <c r="L81">
        <f>IFERROR(MATCH(SMALL('Schedule'!$O$4:$O$1003,78),'Schedule'!$O$4:$O$1003,0),"")</f>
        <v/>
      </c>
    </row>
    <row r="82">
      <c r="A82" s="16">
        <f>IF($L82="","",79)</f>
        <v/>
      </c>
      <c r="B82" s="16">
        <f>IF($L82="","",IF(INDEX('Schedule'!$A$4:$A$1003,$L82)="","",INDEX('Schedule'!$A$4:$A$1003,$L82)))</f>
        <v/>
      </c>
      <c r="C82" s="16">
        <f>IF($B82="","",IFERROR(INDEX('Cars'!$F$4:$F$103,MATCH($B82,'Cars'!$A$4:$A$103,0))&amp;"",""))</f>
        <v/>
      </c>
      <c r="D82" s="16">
        <f>IF($L82="","",IF(INDEX('Schedule'!$C$4:$C$1003,$L82)="","",INDEX('Schedule'!$C$4:$C$1003,$L82)))</f>
        <v/>
      </c>
      <c r="E82" s="19">
        <f>IF($L82="","",IF(INDEX('Schedule'!$F$4:$F$1003,$L82)="","",INDEX('Schedule'!$F$4:$F$1003,$L82)))</f>
        <v/>
      </c>
      <c r="F82" s="20">
        <f>IF($L82="","",IF(INDEX('Schedule'!$G$4:$G$1003,$L82)="","",INDEX('Schedule'!$G$4:$G$1003,$L82)))</f>
        <v/>
      </c>
      <c r="G82" s="19">
        <f>IF($L82="","",IF(INDEX('Schedule'!$I$4:$I$1003,$L82)="","",INDEX('Schedule'!$I$4:$I$1003,$L82)))</f>
        <v/>
      </c>
      <c r="H82" s="21">
        <f>IF($L82="","",IF(INDEX('Schedule'!$J$4:$J$1003,$L82)="","",INDEX('Schedule'!$J$4:$J$1003,$L82)))</f>
        <v/>
      </c>
      <c r="I82" s="16">
        <f>IF($L82="","",IF(INDEX('Schedule'!$M$4:$M$1003,$L82)="","",INDEX('Schedule'!$M$4:$M$1003,$L82)))</f>
        <v/>
      </c>
      <c r="J82" s="15" t="n"/>
      <c r="K82" s="15" t="n"/>
      <c r="L82">
        <f>IFERROR(MATCH(SMALL('Schedule'!$O$4:$O$1003,79),'Schedule'!$O$4:$O$1003,0),"")</f>
        <v/>
      </c>
    </row>
    <row r="83">
      <c r="A83" s="16">
        <f>IF($L83="","",80)</f>
        <v/>
      </c>
      <c r="B83" s="16">
        <f>IF($L83="","",IF(INDEX('Schedule'!$A$4:$A$1003,$L83)="","",INDEX('Schedule'!$A$4:$A$1003,$L83)))</f>
        <v/>
      </c>
      <c r="C83" s="16">
        <f>IF($B83="","",IFERROR(INDEX('Cars'!$F$4:$F$103,MATCH($B83,'Cars'!$A$4:$A$103,0))&amp;"",""))</f>
        <v/>
      </c>
      <c r="D83" s="16">
        <f>IF($L83="","",IF(INDEX('Schedule'!$C$4:$C$1003,$L83)="","",INDEX('Schedule'!$C$4:$C$1003,$L83)))</f>
        <v/>
      </c>
      <c r="E83" s="19">
        <f>IF($L83="","",IF(INDEX('Schedule'!$F$4:$F$1003,$L83)="","",INDEX('Schedule'!$F$4:$F$1003,$L83)))</f>
        <v/>
      </c>
      <c r="F83" s="20">
        <f>IF($L83="","",IF(INDEX('Schedule'!$G$4:$G$1003,$L83)="","",INDEX('Schedule'!$G$4:$G$1003,$L83)))</f>
        <v/>
      </c>
      <c r="G83" s="19">
        <f>IF($L83="","",IF(INDEX('Schedule'!$I$4:$I$1003,$L83)="","",INDEX('Schedule'!$I$4:$I$1003,$L83)))</f>
        <v/>
      </c>
      <c r="H83" s="21">
        <f>IF($L83="","",IF(INDEX('Schedule'!$J$4:$J$1003,$L83)="","",INDEX('Schedule'!$J$4:$J$1003,$L83)))</f>
        <v/>
      </c>
      <c r="I83" s="16">
        <f>IF($L83="","",IF(INDEX('Schedule'!$M$4:$M$1003,$L83)="","",INDEX('Schedule'!$M$4:$M$1003,$L83)))</f>
        <v/>
      </c>
      <c r="J83" s="15" t="n"/>
      <c r="K83" s="15" t="n"/>
      <c r="L83">
        <f>IFERROR(MATCH(SMALL('Schedule'!$O$4:$O$1003,80),'Schedule'!$O$4:$O$1003,0),"")</f>
        <v/>
      </c>
    </row>
    <row r="84">
      <c r="A84" s="16">
        <f>IF($L84="","",81)</f>
        <v/>
      </c>
      <c r="B84" s="16">
        <f>IF($L84="","",IF(INDEX('Schedule'!$A$4:$A$1003,$L84)="","",INDEX('Schedule'!$A$4:$A$1003,$L84)))</f>
        <v/>
      </c>
      <c r="C84" s="16">
        <f>IF($B84="","",IFERROR(INDEX('Cars'!$F$4:$F$103,MATCH($B84,'Cars'!$A$4:$A$103,0))&amp;"",""))</f>
        <v/>
      </c>
      <c r="D84" s="16">
        <f>IF($L84="","",IF(INDEX('Schedule'!$C$4:$C$1003,$L84)="","",INDEX('Schedule'!$C$4:$C$1003,$L84)))</f>
        <v/>
      </c>
      <c r="E84" s="19">
        <f>IF($L84="","",IF(INDEX('Schedule'!$F$4:$F$1003,$L84)="","",INDEX('Schedule'!$F$4:$F$1003,$L84)))</f>
        <v/>
      </c>
      <c r="F84" s="20">
        <f>IF($L84="","",IF(INDEX('Schedule'!$G$4:$G$1003,$L84)="","",INDEX('Schedule'!$G$4:$G$1003,$L84)))</f>
        <v/>
      </c>
      <c r="G84" s="19">
        <f>IF($L84="","",IF(INDEX('Schedule'!$I$4:$I$1003,$L84)="","",INDEX('Schedule'!$I$4:$I$1003,$L84)))</f>
        <v/>
      </c>
      <c r="H84" s="21">
        <f>IF($L84="","",IF(INDEX('Schedule'!$J$4:$J$1003,$L84)="","",INDEX('Schedule'!$J$4:$J$1003,$L84)))</f>
        <v/>
      </c>
      <c r="I84" s="16">
        <f>IF($L84="","",IF(INDEX('Schedule'!$M$4:$M$1003,$L84)="","",INDEX('Schedule'!$M$4:$M$1003,$L84)))</f>
        <v/>
      </c>
      <c r="J84" s="15" t="n"/>
      <c r="K84" s="15" t="n"/>
      <c r="L84">
        <f>IFERROR(MATCH(SMALL('Schedule'!$O$4:$O$1003,81),'Schedule'!$O$4:$O$1003,0),"")</f>
        <v/>
      </c>
    </row>
    <row r="85">
      <c r="A85" s="16">
        <f>IF($L85="","",82)</f>
        <v/>
      </c>
      <c r="B85" s="16">
        <f>IF($L85="","",IF(INDEX('Schedule'!$A$4:$A$1003,$L85)="","",INDEX('Schedule'!$A$4:$A$1003,$L85)))</f>
        <v/>
      </c>
      <c r="C85" s="16">
        <f>IF($B85="","",IFERROR(INDEX('Cars'!$F$4:$F$103,MATCH($B85,'Cars'!$A$4:$A$103,0))&amp;"",""))</f>
        <v/>
      </c>
      <c r="D85" s="16">
        <f>IF($L85="","",IF(INDEX('Schedule'!$C$4:$C$1003,$L85)="","",INDEX('Schedule'!$C$4:$C$1003,$L85)))</f>
        <v/>
      </c>
      <c r="E85" s="19">
        <f>IF($L85="","",IF(INDEX('Schedule'!$F$4:$F$1003,$L85)="","",INDEX('Schedule'!$F$4:$F$1003,$L85)))</f>
        <v/>
      </c>
      <c r="F85" s="20">
        <f>IF($L85="","",IF(INDEX('Schedule'!$G$4:$G$1003,$L85)="","",INDEX('Schedule'!$G$4:$G$1003,$L85)))</f>
        <v/>
      </c>
      <c r="G85" s="19">
        <f>IF($L85="","",IF(INDEX('Schedule'!$I$4:$I$1003,$L85)="","",INDEX('Schedule'!$I$4:$I$1003,$L85)))</f>
        <v/>
      </c>
      <c r="H85" s="21">
        <f>IF($L85="","",IF(INDEX('Schedule'!$J$4:$J$1003,$L85)="","",INDEX('Schedule'!$J$4:$J$1003,$L85)))</f>
        <v/>
      </c>
      <c r="I85" s="16">
        <f>IF($L85="","",IF(INDEX('Schedule'!$M$4:$M$1003,$L85)="","",INDEX('Schedule'!$M$4:$M$1003,$L85)))</f>
        <v/>
      </c>
      <c r="J85" s="15" t="n"/>
      <c r="K85" s="15" t="n"/>
      <c r="L85">
        <f>IFERROR(MATCH(SMALL('Schedule'!$O$4:$O$1003,82),'Schedule'!$O$4:$O$1003,0),"")</f>
        <v/>
      </c>
    </row>
    <row r="86">
      <c r="A86" s="16">
        <f>IF($L86="","",83)</f>
        <v/>
      </c>
      <c r="B86" s="16">
        <f>IF($L86="","",IF(INDEX('Schedule'!$A$4:$A$1003,$L86)="","",INDEX('Schedule'!$A$4:$A$1003,$L86)))</f>
        <v/>
      </c>
      <c r="C86" s="16">
        <f>IF($B86="","",IFERROR(INDEX('Cars'!$F$4:$F$103,MATCH($B86,'Cars'!$A$4:$A$103,0))&amp;"",""))</f>
        <v/>
      </c>
      <c r="D86" s="16">
        <f>IF($L86="","",IF(INDEX('Schedule'!$C$4:$C$1003,$L86)="","",INDEX('Schedule'!$C$4:$C$1003,$L86)))</f>
        <v/>
      </c>
      <c r="E86" s="19">
        <f>IF($L86="","",IF(INDEX('Schedule'!$F$4:$F$1003,$L86)="","",INDEX('Schedule'!$F$4:$F$1003,$L86)))</f>
        <v/>
      </c>
      <c r="F86" s="20">
        <f>IF($L86="","",IF(INDEX('Schedule'!$G$4:$G$1003,$L86)="","",INDEX('Schedule'!$G$4:$G$1003,$L86)))</f>
        <v/>
      </c>
      <c r="G86" s="19">
        <f>IF($L86="","",IF(INDEX('Schedule'!$I$4:$I$1003,$L86)="","",INDEX('Schedule'!$I$4:$I$1003,$L86)))</f>
        <v/>
      </c>
      <c r="H86" s="21">
        <f>IF($L86="","",IF(INDEX('Schedule'!$J$4:$J$1003,$L86)="","",INDEX('Schedule'!$J$4:$J$1003,$L86)))</f>
        <v/>
      </c>
      <c r="I86" s="16">
        <f>IF($L86="","",IF(INDEX('Schedule'!$M$4:$M$1003,$L86)="","",INDEX('Schedule'!$M$4:$M$1003,$L86)))</f>
        <v/>
      </c>
      <c r="J86" s="15" t="n"/>
      <c r="K86" s="15" t="n"/>
      <c r="L86">
        <f>IFERROR(MATCH(SMALL('Schedule'!$O$4:$O$1003,83),'Schedule'!$O$4:$O$1003,0),"")</f>
        <v/>
      </c>
    </row>
    <row r="87">
      <c r="A87" s="16">
        <f>IF($L87="","",84)</f>
        <v/>
      </c>
      <c r="B87" s="16">
        <f>IF($L87="","",IF(INDEX('Schedule'!$A$4:$A$1003,$L87)="","",INDEX('Schedule'!$A$4:$A$1003,$L87)))</f>
        <v/>
      </c>
      <c r="C87" s="16">
        <f>IF($B87="","",IFERROR(INDEX('Cars'!$F$4:$F$103,MATCH($B87,'Cars'!$A$4:$A$103,0))&amp;"",""))</f>
        <v/>
      </c>
      <c r="D87" s="16">
        <f>IF($L87="","",IF(INDEX('Schedule'!$C$4:$C$1003,$L87)="","",INDEX('Schedule'!$C$4:$C$1003,$L87)))</f>
        <v/>
      </c>
      <c r="E87" s="19">
        <f>IF($L87="","",IF(INDEX('Schedule'!$F$4:$F$1003,$L87)="","",INDEX('Schedule'!$F$4:$F$1003,$L87)))</f>
        <v/>
      </c>
      <c r="F87" s="20">
        <f>IF($L87="","",IF(INDEX('Schedule'!$G$4:$G$1003,$L87)="","",INDEX('Schedule'!$G$4:$G$1003,$L87)))</f>
        <v/>
      </c>
      <c r="G87" s="19">
        <f>IF($L87="","",IF(INDEX('Schedule'!$I$4:$I$1003,$L87)="","",INDEX('Schedule'!$I$4:$I$1003,$L87)))</f>
        <v/>
      </c>
      <c r="H87" s="21">
        <f>IF($L87="","",IF(INDEX('Schedule'!$J$4:$J$1003,$L87)="","",INDEX('Schedule'!$J$4:$J$1003,$L87)))</f>
        <v/>
      </c>
      <c r="I87" s="16">
        <f>IF($L87="","",IF(INDEX('Schedule'!$M$4:$M$1003,$L87)="","",INDEX('Schedule'!$M$4:$M$1003,$L87)))</f>
        <v/>
      </c>
      <c r="J87" s="15" t="n"/>
      <c r="K87" s="15" t="n"/>
      <c r="L87">
        <f>IFERROR(MATCH(SMALL('Schedule'!$O$4:$O$1003,84),'Schedule'!$O$4:$O$1003,0),"")</f>
        <v/>
      </c>
    </row>
    <row r="88">
      <c r="A88" s="16">
        <f>IF($L88="","",85)</f>
        <v/>
      </c>
      <c r="B88" s="16">
        <f>IF($L88="","",IF(INDEX('Schedule'!$A$4:$A$1003,$L88)="","",INDEX('Schedule'!$A$4:$A$1003,$L88)))</f>
        <v/>
      </c>
      <c r="C88" s="16">
        <f>IF($B88="","",IFERROR(INDEX('Cars'!$F$4:$F$103,MATCH($B88,'Cars'!$A$4:$A$103,0))&amp;"",""))</f>
        <v/>
      </c>
      <c r="D88" s="16">
        <f>IF($L88="","",IF(INDEX('Schedule'!$C$4:$C$1003,$L88)="","",INDEX('Schedule'!$C$4:$C$1003,$L88)))</f>
        <v/>
      </c>
      <c r="E88" s="19">
        <f>IF($L88="","",IF(INDEX('Schedule'!$F$4:$F$1003,$L88)="","",INDEX('Schedule'!$F$4:$F$1003,$L88)))</f>
        <v/>
      </c>
      <c r="F88" s="20">
        <f>IF($L88="","",IF(INDEX('Schedule'!$G$4:$G$1003,$L88)="","",INDEX('Schedule'!$G$4:$G$1003,$L88)))</f>
        <v/>
      </c>
      <c r="G88" s="19">
        <f>IF($L88="","",IF(INDEX('Schedule'!$I$4:$I$1003,$L88)="","",INDEX('Schedule'!$I$4:$I$1003,$L88)))</f>
        <v/>
      </c>
      <c r="H88" s="21">
        <f>IF($L88="","",IF(INDEX('Schedule'!$J$4:$J$1003,$L88)="","",INDEX('Schedule'!$J$4:$J$1003,$L88)))</f>
        <v/>
      </c>
      <c r="I88" s="16">
        <f>IF($L88="","",IF(INDEX('Schedule'!$M$4:$M$1003,$L88)="","",INDEX('Schedule'!$M$4:$M$1003,$L88)))</f>
        <v/>
      </c>
      <c r="J88" s="15" t="n"/>
      <c r="K88" s="15" t="n"/>
      <c r="L88">
        <f>IFERROR(MATCH(SMALL('Schedule'!$O$4:$O$1003,85),'Schedule'!$O$4:$O$1003,0),"")</f>
        <v/>
      </c>
    </row>
    <row r="89">
      <c r="A89" s="16">
        <f>IF($L89="","",86)</f>
        <v/>
      </c>
      <c r="B89" s="16">
        <f>IF($L89="","",IF(INDEX('Schedule'!$A$4:$A$1003,$L89)="","",INDEX('Schedule'!$A$4:$A$1003,$L89)))</f>
        <v/>
      </c>
      <c r="C89" s="16">
        <f>IF($B89="","",IFERROR(INDEX('Cars'!$F$4:$F$103,MATCH($B89,'Cars'!$A$4:$A$103,0))&amp;"",""))</f>
        <v/>
      </c>
      <c r="D89" s="16">
        <f>IF($L89="","",IF(INDEX('Schedule'!$C$4:$C$1003,$L89)="","",INDEX('Schedule'!$C$4:$C$1003,$L89)))</f>
        <v/>
      </c>
      <c r="E89" s="19">
        <f>IF($L89="","",IF(INDEX('Schedule'!$F$4:$F$1003,$L89)="","",INDEX('Schedule'!$F$4:$F$1003,$L89)))</f>
        <v/>
      </c>
      <c r="F89" s="20">
        <f>IF($L89="","",IF(INDEX('Schedule'!$G$4:$G$1003,$L89)="","",INDEX('Schedule'!$G$4:$G$1003,$L89)))</f>
        <v/>
      </c>
      <c r="G89" s="19">
        <f>IF($L89="","",IF(INDEX('Schedule'!$I$4:$I$1003,$L89)="","",INDEX('Schedule'!$I$4:$I$1003,$L89)))</f>
        <v/>
      </c>
      <c r="H89" s="21">
        <f>IF($L89="","",IF(INDEX('Schedule'!$J$4:$J$1003,$L89)="","",INDEX('Schedule'!$J$4:$J$1003,$L89)))</f>
        <v/>
      </c>
      <c r="I89" s="16">
        <f>IF($L89="","",IF(INDEX('Schedule'!$M$4:$M$1003,$L89)="","",INDEX('Schedule'!$M$4:$M$1003,$L89)))</f>
        <v/>
      </c>
      <c r="J89" s="15" t="n"/>
      <c r="K89" s="15" t="n"/>
      <c r="L89">
        <f>IFERROR(MATCH(SMALL('Schedule'!$O$4:$O$1003,86),'Schedule'!$O$4:$O$1003,0),"")</f>
        <v/>
      </c>
    </row>
    <row r="90">
      <c r="A90" s="16">
        <f>IF($L90="","",87)</f>
        <v/>
      </c>
      <c r="B90" s="16">
        <f>IF($L90="","",IF(INDEX('Schedule'!$A$4:$A$1003,$L90)="","",INDEX('Schedule'!$A$4:$A$1003,$L90)))</f>
        <v/>
      </c>
      <c r="C90" s="16">
        <f>IF($B90="","",IFERROR(INDEX('Cars'!$F$4:$F$103,MATCH($B90,'Cars'!$A$4:$A$103,0))&amp;"",""))</f>
        <v/>
      </c>
      <c r="D90" s="16">
        <f>IF($L90="","",IF(INDEX('Schedule'!$C$4:$C$1003,$L90)="","",INDEX('Schedule'!$C$4:$C$1003,$L90)))</f>
        <v/>
      </c>
      <c r="E90" s="19">
        <f>IF($L90="","",IF(INDEX('Schedule'!$F$4:$F$1003,$L90)="","",INDEX('Schedule'!$F$4:$F$1003,$L90)))</f>
        <v/>
      </c>
      <c r="F90" s="20">
        <f>IF($L90="","",IF(INDEX('Schedule'!$G$4:$G$1003,$L90)="","",INDEX('Schedule'!$G$4:$G$1003,$L90)))</f>
        <v/>
      </c>
      <c r="G90" s="19">
        <f>IF($L90="","",IF(INDEX('Schedule'!$I$4:$I$1003,$L90)="","",INDEX('Schedule'!$I$4:$I$1003,$L90)))</f>
        <v/>
      </c>
      <c r="H90" s="21">
        <f>IF($L90="","",IF(INDEX('Schedule'!$J$4:$J$1003,$L90)="","",INDEX('Schedule'!$J$4:$J$1003,$L90)))</f>
        <v/>
      </c>
      <c r="I90" s="16">
        <f>IF($L90="","",IF(INDEX('Schedule'!$M$4:$M$1003,$L90)="","",INDEX('Schedule'!$M$4:$M$1003,$L90)))</f>
        <v/>
      </c>
      <c r="J90" s="15" t="n"/>
      <c r="K90" s="15" t="n"/>
      <c r="L90">
        <f>IFERROR(MATCH(SMALL('Schedule'!$O$4:$O$1003,87),'Schedule'!$O$4:$O$1003,0),"")</f>
        <v/>
      </c>
    </row>
    <row r="91">
      <c r="A91" s="16">
        <f>IF($L91="","",88)</f>
        <v/>
      </c>
      <c r="B91" s="16">
        <f>IF($L91="","",IF(INDEX('Schedule'!$A$4:$A$1003,$L91)="","",INDEX('Schedule'!$A$4:$A$1003,$L91)))</f>
        <v/>
      </c>
      <c r="C91" s="16">
        <f>IF($B91="","",IFERROR(INDEX('Cars'!$F$4:$F$103,MATCH($B91,'Cars'!$A$4:$A$103,0))&amp;"",""))</f>
        <v/>
      </c>
      <c r="D91" s="16">
        <f>IF($L91="","",IF(INDEX('Schedule'!$C$4:$C$1003,$L91)="","",INDEX('Schedule'!$C$4:$C$1003,$L91)))</f>
        <v/>
      </c>
      <c r="E91" s="19">
        <f>IF($L91="","",IF(INDEX('Schedule'!$F$4:$F$1003,$L91)="","",INDEX('Schedule'!$F$4:$F$1003,$L91)))</f>
        <v/>
      </c>
      <c r="F91" s="20">
        <f>IF($L91="","",IF(INDEX('Schedule'!$G$4:$G$1003,$L91)="","",INDEX('Schedule'!$G$4:$G$1003,$L91)))</f>
        <v/>
      </c>
      <c r="G91" s="19">
        <f>IF($L91="","",IF(INDEX('Schedule'!$I$4:$I$1003,$L91)="","",INDEX('Schedule'!$I$4:$I$1003,$L91)))</f>
        <v/>
      </c>
      <c r="H91" s="21">
        <f>IF($L91="","",IF(INDEX('Schedule'!$J$4:$J$1003,$L91)="","",INDEX('Schedule'!$J$4:$J$1003,$L91)))</f>
        <v/>
      </c>
      <c r="I91" s="16">
        <f>IF($L91="","",IF(INDEX('Schedule'!$M$4:$M$1003,$L91)="","",INDEX('Schedule'!$M$4:$M$1003,$L91)))</f>
        <v/>
      </c>
      <c r="J91" s="15" t="n"/>
      <c r="K91" s="15" t="n"/>
      <c r="L91">
        <f>IFERROR(MATCH(SMALL('Schedule'!$O$4:$O$1003,88),'Schedule'!$O$4:$O$1003,0),"")</f>
        <v/>
      </c>
    </row>
    <row r="92">
      <c r="A92" s="16">
        <f>IF($L92="","",89)</f>
        <v/>
      </c>
      <c r="B92" s="16">
        <f>IF($L92="","",IF(INDEX('Schedule'!$A$4:$A$1003,$L92)="","",INDEX('Schedule'!$A$4:$A$1003,$L92)))</f>
        <v/>
      </c>
      <c r="C92" s="16">
        <f>IF($B92="","",IFERROR(INDEX('Cars'!$F$4:$F$103,MATCH($B92,'Cars'!$A$4:$A$103,0))&amp;"",""))</f>
        <v/>
      </c>
      <c r="D92" s="16">
        <f>IF($L92="","",IF(INDEX('Schedule'!$C$4:$C$1003,$L92)="","",INDEX('Schedule'!$C$4:$C$1003,$L92)))</f>
        <v/>
      </c>
      <c r="E92" s="19">
        <f>IF($L92="","",IF(INDEX('Schedule'!$F$4:$F$1003,$L92)="","",INDEX('Schedule'!$F$4:$F$1003,$L92)))</f>
        <v/>
      </c>
      <c r="F92" s="20">
        <f>IF($L92="","",IF(INDEX('Schedule'!$G$4:$G$1003,$L92)="","",INDEX('Schedule'!$G$4:$G$1003,$L92)))</f>
        <v/>
      </c>
      <c r="G92" s="19">
        <f>IF($L92="","",IF(INDEX('Schedule'!$I$4:$I$1003,$L92)="","",INDEX('Schedule'!$I$4:$I$1003,$L92)))</f>
        <v/>
      </c>
      <c r="H92" s="21">
        <f>IF($L92="","",IF(INDEX('Schedule'!$J$4:$J$1003,$L92)="","",INDEX('Schedule'!$J$4:$J$1003,$L92)))</f>
        <v/>
      </c>
      <c r="I92" s="16">
        <f>IF($L92="","",IF(INDEX('Schedule'!$M$4:$M$1003,$L92)="","",INDEX('Schedule'!$M$4:$M$1003,$L92)))</f>
        <v/>
      </c>
      <c r="J92" s="15" t="n"/>
      <c r="K92" s="15" t="n"/>
      <c r="L92">
        <f>IFERROR(MATCH(SMALL('Schedule'!$O$4:$O$1003,89),'Schedule'!$O$4:$O$1003,0),"")</f>
        <v/>
      </c>
    </row>
    <row r="93">
      <c r="A93" s="16">
        <f>IF($L93="","",90)</f>
        <v/>
      </c>
      <c r="B93" s="16">
        <f>IF($L93="","",IF(INDEX('Schedule'!$A$4:$A$1003,$L93)="","",INDEX('Schedule'!$A$4:$A$1003,$L93)))</f>
        <v/>
      </c>
      <c r="C93" s="16">
        <f>IF($B93="","",IFERROR(INDEX('Cars'!$F$4:$F$103,MATCH($B93,'Cars'!$A$4:$A$103,0))&amp;"",""))</f>
        <v/>
      </c>
      <c r="D93" s="16">
        <f>IF($L93="","",IF(INDEX('Schedule'!$C$4:$C$1003,$L93)="","",INDEX('Schedule'!$C$4:$C$1003,$L93)))</f>
        <v/>
      </c>
      <c r="E93" s="19">
        <f>IF($L93="","",IF(INDEX('Schedule'!$F$4:$F$1003,$L93)="","",INDEX('Schedule'!$F$4:$F$1003,$L93)))</f>
        <v/>
      </c>
      <c r="F93" s="20">
        <f>IF($L93="","",IF(INDEX('Schedule'!$G$4:$G$1003,$L93)="","",INDEX('Schedule'!$G$4:$G$1003,$L93)))</f>
        <v/>
      </c>
      <c r="G93" s="19">
        <f>IF($L93="","",IF(INDEX('Schedule'!$I$4:$I$1003,$L93)="","",INDEX('Schedule'!$I$4:$I$1003,$L93)))</f>
        <v/>
      </c>
      <c r="H93" s="21">
        <f>IF($L93="","",IF(INDEX('Schedule'!$J$4:$J$1003,$L93)="","",INDEX('Schedule'!$J$4:$J$1003,$L93)))</f>
        <v/>
      </c>
      <c r="I93" s="16">
        <f>IF($L93="","",IF(INDEX('Schedule'!$M$4:$M$1003,$L93)="","",INDEX('Schedule'!$M$4:$M$1003,$L93)))</f>
        <v/>
      </c>
      <c r="J93" s="15" t="n"/>
      <c r="K93" s="15" t="n"/>
      <c r="L93">
        <f>IFERROR(MATCH(SMALL('Schedule'!$O$4:$O$1003,90),'Schedule'!$O$4:$O$1003,0),"")</f>
        <v/>
      </c>
    </row>
    <row r="94">
      <c r="A94" s="16">
        <f>IF($L94="","",91)</f>
        <v/>
      </c>
      <c r="B94" s="16">
        <f>IF($L94="","",IF(INDEX('Schedule'!$A$4:$A$1003,$L94)="","",INDEX('Schedule'!$A$4:$A$1003,$L94)))</f>
        <v/>
      </c>
      <c r="C94" s="16">
        <f>IF($B94="","",IFERROR(INDEX('Cars'!$F$4:$F$103,MATCH($B94,'Cars'!$A$4:$A$103,0))&amp;"",""))</f>
        <v/>
      </c>
      <c r="D94" s="16">
        <f>IF($L94="","",IF(INDEX('Schedule'!$C$4:$C$1003,$L94)="","",INDEX('Schedule'!$C$4:$C$1003,$L94)))</f>
        <v/>
      </c>
      <c r="E94" s="19">
        <f>IF($L94="","",IF(INDEX('Schedule'!$F$4:$F$1003,$L94)="","",INDEX('Schedule'!$F$4:$F$1003,$L94)))</f>
        <v/>
      </c>
      <c r="F94" s="20">
        <f>IF($L94="","",IF(INDEX('Schedule'!$G$4:$G$1003,$L94)="","",INDEX('Schedule'!$G$4:$G$1003,$L94)))</f>
        <v/>
      </c>
      <c r="G94" s="19">
        <f>IF($L94="","",IF(INDEX('Schedule'!$I$4:$I$1003,$L94)="","",INDEX('Schedule'!$I$4:$I$1003,$L94)))</f>
        <v/>
      </c>
      <c r="H94" s="21">
        <f>IF($L94="","",IF(INDEX('Schedule'!$J$4:$J$1003,$L94)="","",INDEX('Schedule'!$J$4:$J$1003,$L94)))</f>
        <v/>
      </c>
      <c r="I94" s="16">
        <f>IF($L94="","",IF(INDEX('Schedule'!$M$4:$M$1003,$L94)="","",INDEX('Schedule'!$M$4:$M$1003,$L94)))</f>
        <v/>
      </c>
      <c r="J94" s="15" t="n"/>
      <c r="K94" s="15" t="n"/>
      <c r="L94">
        <f>IFERROR(MATCH(SMALL('Schedule'!$O$4:$O$1003,91),'Schedule'!$O$4:$O$1003,0),"")</f>
        <v/>
      </c>
    </row>
    <row r="95">
      <c r="A95" s="16">
        <f>IF($L95="","",92)</f>
        <v/>
      </c>
      <c r="B95" s="16">
        <f>IF($L95="","",IF(INDEX('Schedule'!$A$4:$A$1003,$L95)="","",INDEX('Schedule'!$A$4:$A$1003,$L95)))</f>
        <v/>
      </c>
      <c r="C95" s="16">
        <f>IF($B95="","",IFERROR(INDEX('Cars'!$F$4:$F$103,MATCH($B95,'Cars'!$A$4:$A$103,0))&amp;"",""))</f>
        <v/>
      </c>
      <c r="D95" s="16">
        <f>IF($L95="","",IF(INDEX('Schedule'!$C$4:$C$1003,$L95)="","",INDEX('Schedule'!$C$4:$C$1003,$L95)))</f>
        <v/>
      </c>
      <c r="E95" s="19">
        <f>IF($L95="","",IF(INDEX('Schedule'!$F$4:$F$1003,$L95)="","",INDEX('Schedule'!$F$4:$F$1003,$L95)))</f>
        <v/>
      </c>
      <c r="F95" s="20">
        <f>IF($L95="","",IF(INDEX('Schedule'!$G$4:$G$1003,$L95)="","",INDEX('Schedule'!$G$4:$G$1003,$L95)))</f>
        <v/>
      </c>
      <c r="G95" s="19">
        <f>IF($L95="","",IF(INDEX('Schedule'!$I$4:$I$1003,$L95)="","",INDEX('Schedule'!$I$4:$I$1003,$L95)))</f>
        <v/>
      </c>
      <c r="H95" s="21">
        <f>IF($L95="","",IF(INDEX('Schedule'!$J$4:$J$1003,$L95)="","",INDEX('Schedule'!$J$4:$J$1003,$L95)))</f>
        <v/>
      </c>
      <c r="I95" s="16">
        <f>IF($L95="","",IF(INDEX('Schedule'!$M$4:$M$1003,$L95)="","",INDEX('Schedule'!$M$4:$M$1003,$L95)))</f>
        <v/>
      </c>
      <c r="J95" s="15" t="n"/>
      <c r="K95" s="15" t="n"/>
      <c r="L95">
        <f>IFERROR(MATCH(SMALL('Schedule'!$O$4:$O$1003,92),'Schedule'!$O$4:$O$1003,0),"")</f>
        <v/>
      </c>
    </row>
    <row r="96">
      <c r="A96" s="16">
        <f>IF($L96="","",93)</f>
        <v/>
      </c>
      <c r="B96" s="16">
        <f>IF($L96="","",IF(INDEX('Schedule'!$A$4:$A$1003,$L96)="","",INDEX('Schedule'!$A$4:$A$1003,$L96)))</f>
        <v/>
      </c>
      <c r="C96" s="16">
        <f>IF($B96="","",IFERROR(INDEX('Cars'!$F$4:$F$103,MATCH($B96,'Cars'!$A$4:$A$103,0))&amp;"",""))</f>
        <v/>
      </c>
      <c r="D96" s="16">
        <f>IF($L96="","",IF(INDEX('Schedule'!$C$4:$C$1003,$L96)="","",INDEX('Schedule'!$C$4:$C$1003,$L96)))</f>
        <v/>
      </c>
      <c r="E96" s="19">
        <f>IF($L96="","",IF(INDEX('Schedule'!$F$4:$F$1003,$L96)="","",INDEX('Schedule'!$F$4:$F$1003,$L96)))</f>
        <v/>
      </c>
      <c r="F96" s="20">
        <f>IF($L96="","",IF(INDEX('Schedule'!$G$4:$G$1003,$L96)="","",INDEX('Schedule'!$G$4:$G$1003,$L96)))</f>
        <v/>
      </c>
      <c r="G96" s="19">
        <f>IF($L96="","",IF(INDEX('Schedule'!$I$4:$I$1003,$L96)="","",INDEX('Schedule'!$I$4:$I$1003,$L96)))</f>
        <v/>
      </c>
      <c r="H96" s="21">
        <f>IF($L96="","",IF(INDEX('Schedule'!$J$4:$J$1003,$L96)="","",INDEX('Schedule'!$J$4:$J$1003,$L96)))</f>
        <v/>
      </c>
      <c r="I96" s="16">
        <f>IF($L96="","",IF(INDEX('Schedule'!$M$4:$M$1003,$L96)="","",INDEX('Schedule'!$M$4:$M$1003,$L96)))</f>
        <v/>
      </c>
      <c r="J96" s="15" t="n"/>
      <c r="K96" s="15" t="n"/>
      <c r="L96">
        <f>IFERROR(MATCH(SMALL('Schedule'!$O$4:$O$1003,93),'Schedule'!$O$4:$O$1003,0),"")</f>
        <v/>
      </c>
    </row>
    <row r="97">
      <c r="A97" s="16">
        <f>IF($L97="","",94)</f>
        <v/>
      </c>
      <c r="B97" s="16">
        <f>IF($L97="","",IF(INDEX('Schedule'!$A$4:$A$1003,$L97)="","",INDEX('Schedule'!$A$4:$A$1003,$L97)))</f>
        <v/>
      </c>
      <c r="C97" s="16">
        <f>IF($B97="","",IFERROR(INDEX('Cars'!$F$4:$F$103,MATCH($B97,'Cars'!$A$4:$A$103,0))&amp;"",""))</f>
        <v/>
      </c>
      <c r="D97" s="16">
        <f>IF($L97="","",IF(INDEX('Schedule'!$C$4:$C$1003,$L97)="","",INDEX('Schedule'!$C$4:$C$1003,$L97)))</f>
        <v/>
      </c>
      <c r="E97" s="19">
        <f>IF($L97="","",IF(INDEX('Schedule'!$F$4:$F$1003,$L97)="","",INDEX('Schedule'!$F$4:$F$1003,$L97)))</f>
        <v/>
      </c>
      <c r="F97" s="20">
        <f>IF($L97="","",IF(INDEX('Schedule'!$G$4:$G$1003,$L97)="","",INDEX('Schedule'!$G$4:$G$1003,$L97)))</f>
        <v/>
      </c>
      <c r="G97" s="19">
        <f>IF($L97="","",IF(INDEX('Schedule'!$I$4:$I$1003,$L97)="","",INDEX('Schedule'!$I$4:$I$1003,$L97)))</f>
        <v/>
      </c>
      <c r="H97" s="21">
        <f>IF($L97="","",IF(INDEX('Schedule'!$J$4:$J$1003,$L97)="","",INDEX('Schedule'!$J$4:$J$1003,$L97)))</f>
        <v/>
      </c>
      <c r="I97" s="16">
        <f>IF($L97="","",IF(INDEX('Schedule'!$M$4:$M$1003,$L97)="","",INDEX('Schedule'!$M$4:$M$1003,$L97)))</f>
        <v/>
      </c>
      <c r="J97" s="15" t="n"/>
      <c r="K97" s="15" t="n"/>
      <c r="L97">
        <f>IFERROR(MATCH(SMALL('Schedule'!$O$4:$O$1003,94),'Schedule'!$O$4:$O$1003,0),"")</f>
        <v/>
      </c>
    </row>
    <row r="98">
      <c r="A98" s="16">
        <f>IF($L98="","",95)</f>
        <v/>
      </c>
      <c r="B98" s="16">
        <f>IF($L98="","",IF(INDEX('Schedule'!$A$4:$A$1003,$L98)="","",INDEX('Schedule'!$A$4:$A$1003,$L98)))</f>
        <v/>
      </c>
      <c r="C98" s="16">
        <f>IF($B98="","",IFERROR(INDEX('Cars'!$F$4:$F$103,MATCH($B98,'Cars'!$A$4:$A$103,0))&amp;"",""))</f>
        <v/>
      </c>
      <c r="D98" s="16">
        <f>IF($L98="","",IF(INDEX('Schedule'!$C$4:$C$1003,$L98)="","",INDEX('Schedule'!$C$4:$C$1003,$L98)))</f>
        <v/>
      </c>
      <c r="E98" s="19">
        <f>IF($L98="","",IF(INDEX('Schedule'!$F$4:$F$1003,$L98)="","",INDEX('Schedule'!$F$4:$F$1003,$L98)))</f>
        <v/>
      </c>
      <c r="F98" s="20">
        <f>IF($L98="","",IF(INDEX('Schedule'!$G$4:$G$1003,$L98)="","",INDEX('Schedule'!$G$4:$G$1003,$L98)))</f>
        <v/>
      </c>
      <c r="G98" s="19">
        <f>IF($L98="","",IF(INDEX('Schedule'!$I$4:$I$1003,$L98)="","",INDEX('Schedule'!$I$4:$I$1003,$L98)))</f>
        <v/>
      </c>
      <c r="H98" s="21">
        <f>IF($L98="","",IF(INDEX('Schedule'!$J$4:$J$1003,$L98)="","",INDEX('Schedule'!$J$4:$J$1003,$L98)))</f>
        <v/>
      </c>
      <c r="I98" s="16">
        <f>IF($L98="","",IF(INDEX('Schedule'!$M$4:$M$1003,$L98)="","",INDEX('Schedule'!$M$4:$M$1003,$L98)))</f>
        <v/>
      </c>
      <c r="J98" s="15" t="n"/>
      <c r="K98" s="15" t="n"/>
      <c r="L98">
        <f>IFERROR(MATCH(SMALL('Schedule'!$O$4:$O$1003,95),'Schedule'!$O$4:$O$1003,0),"")</f>
        <v/>
      </c>
    </row>
    <row r="99">
      <c r="A99" s="16">
        <f>IF($L99="","",96)</f>
        <v/>
      </c>
      <c r="B99" s="16">
        <f>IF($L99="","",IF(INDEX('Schedule'!$A$4:$A$1003,$L99)="","",INDEX('Schedule'!$A$4:$A$1003,$L99)))</f>
        <v/>
      </c>
      <c r="C99" s="16">
        <f>IF($B99="","",IFERROR(INDEX('Cars'!$F$4:$F$103,MATCH($B99,'Cars'!$A$4:$A$103,0))&amp;"",""))</f>
        <v/>
      </c>
      <c r="D99" s="16">
        <f>IF($L99="","",IF(INDEX('Schedule'!$C$4:$C$1003,$L99)="","",INDEX('Schedule'!$C$4:$C$1003,$L99)))</f>
        <v/>
      </c>
      <c r="E99" s="19">
        <f>IF($L99="","",IF(INDEX('Schedule'!$F$4:$F$1003,$L99)="","",INDEX('Schedule'!$F$4:$F$1003,$L99)))</f>
        <v/>
      </c>
      <c r="F99" s="20">
        <f>IF($L99="","",IF(INDEX('Schedule'!$G$4:$G$1003,$L99)="","",INDEX('Schedule'!$G$4:$G$1003,$L99)))</f>
        <v/>
      </c>
      <c r="G99" s="19">
        <f>IF($L99="","",IF(INDEX('Schedule'!$I$4:$I$1003,$L99)="","",INDEX('Schedule'!$I$4:$I$1003,$L99)))</f>
        <v/>
      </c>
      <c r="H99" s="21">
        <f>IF($L99="","",IF(INDEX('Schedule'!$J$4:$J$1003,$L99)="","",INDEX('Schedule'!$J$4:$J$1003,$L99)))</f>
        <v/>
      </c>
      <c r="I99" s="16">
        <f>IF($L99="","",IF(INDEX('Schedule'!$M$4:$M$1003,$L99)="","",INDEX('Schedule'!$M$4:$M$1003,$L99)))</f>
        <v/>
      </c>
      <c r="J99" s="15" t="n"/>
      <c r="K99" s="15" t="n"/>
      <c r="L99">
        <f>IFERROR(MATCH(SMALL('Schedule'!$O$4:$O$1003,96),'Schedule'!$O$4:$O$1003,0),"")</f>
        <v/>
      </c>
    </row>
    <row r="100">
      <c r="A100" s="16">
        <f>IF($L100="","",97)</f>
        <v/>
      </c>
      <c r="B100" s="16">
        <f>IF($L100="","",IF(INDEX('Schedule'!$A$4:$A$1003,$L100)="","",INDEX('Schedule'!$A$4:$A$1003,$L100)))</f>
        <v/>
      </c>
      <c r="C100" s="16">
        <f>IF($B100="","",IFERROR(INDEX('Cars'!$F$4:$F$103,MATCH($B100,'Cars'!$A$4:$A$103,0))&amp;"",""))</f>
        <v/>
      </c>
      <c r="D100" s="16">
        <f>IF($L100="","",IF(INDEX('Schedule'!$C$4:$C$1003,$L100)="","",INDEX('Schedule'!$C$4:$C$1003,$L100)))</f>
        <v/>
      </c>
      <c r="E100" s="19">
        <f>IF($L100="","",IF(INDEX('Schedule'!$F$4:$F$1003,$L100)="","",INDEX('Schedule'!$F$4:$F$1003,$L100)))</f>
        <v/>
      </c>
      <c r="F100" s="20">
        <f>IF($L100="","",IF(INDEX('Schedule'!$G$4:$G$1003,$L100)="","",INDEX('Schedule'!$G$4:$G$1003,$L100)))</f>
        <v/>
      </c>
      <c r="G100" s="19">
        <f>IF($L100="","",IF(INDEX('Schedule'!$I$4:$I$1003,$L100)="","",INDEX('Schedule'!$I$4:$I$1003,$L100)))</f>
        <v/>
      </c>
      <c r="H100" s="21">
        <f>IF($L100="","",IF(INDEX('Schedule'!$J$4:$J$1003,$L100)="","",INDEX('Schedule'!$J$4:$J$1003,$L100)))</f>
        <v/>
      </c>
      <c r="I100" s="16">
        <f>IF($L100="","",IF(INDEX('Schedule'!$M$4:$M$1003,$L100)="","",INDEX('Schedule'!$M$4:$M$1003,$L100)))</f>
        <v/>
      </c>
      <c r="J100" s="15" t="n"/>
      <c r="K100" s="15" t="n"/>
      <c r="L100">
        <f>IFERROR(MATCH(SMALL('Schedule'!$O$4:$O$1003,97),'Schedule'!$O$4:$O$1003,0),"")</f>
        <v/>
      </c>
    </row>
    <row r="101">
      <c r="A101" s="16">
        <f>IF($L101="","",98)</f>
        <v/>
      </c>
      <c r="B101" s="16">
        <f>IF($L101="","",IF(INDEX('Schedule'!$A$4:$A$1003,$L101)="","",INDEX('Schedule'!$A$4:$A$1003,$L101)))</f>
        <v/>
      </c>
      <c r="C101" s="16">
        <f>IF($B101="","",IFERROR(INDEX('Cars'!$F$4:$F$103,MATCH($B101,'Cars'!$A$4:$A$103,0))&amp;"",""))</f>
        <v/>
      </c>
      <c r="D101" s="16">
        <f>IF($L101="","",IF(INDEX('Schedule'!$C$4:$C$1003,$L101)="","",INDEX('Schedule'!$C$4:$C$1003,$L101)))</f>
        <v/>
      </c>
      <c r="E101" s="19">
        <f>IF($L101="","",IF(INDEX('Schedule'!$F$4:$F$1003,$L101)="","",INDEX('Schedule'!$F$4:$F$1003,$L101)))</f>
        <v/>
      </c>
      <c r="F101" s="20">
        <f>IF($L101="","",IF(INDEX('Schedule'!$G$4:$G$1003,$L101)="","",INDEX('Schedule'!$G$4:$G$1003,$L101)))</f>
        <v/>
      </c>
      <c r="G101" s="19">
        <f>IF($L101="","",IF(INDEX('Schedule'!$I$4:$I$1003,$L101)="","",INDEX('Schedule'!$I$4:$I$1003,$L101)))</f>
        <v/>
      </c>
      <c r="H101" s="21">
        <f>IF($L101="","",IF(INDEX('Schedule'!$J$4:$J$1003,$L101)="","",INDEX('Schedule'!$J$4:$J$1003,$L101)))</f>
        <v/>
      </c>
      <c r="I101" s="16">
        <f>IF($L101="","",IF(INDEX('Schedule'!$M$4:$M$1003,$L101)="","",INDEX('Schedule'!$M$4:$M$1003,$L101)))</f>
        <v/>
      </c>
      <c r="J101" s="15" t="n"/>
      <c r="K101" s="15" t="n"/>
      <c r="L101">
        <f>IFERROR(MATCH(SMALL('Schedule'!$O$4:$O$1003,98),'Schedule'!$O$4:$O$1003,0),"")</f>
        <v/>
      </c>
    </row>
    <row r="102">
      <c r="A102" s="16">
        <f>IF($L102="","",99)</f>
        <v/>
      </c>
      <c r="B102" s="16">
        <f>IF($L102="","",IF(INDEX('Schedule'!$A$4:$A$1003,$L102)="","",INDEX('Schedule'!$A$4:$A$1003,$L102)))</f>
        <v/>
      </c>
      <c r="C102" s="16">
        <f>IF($B102="","",IFERROR(INDEX('Cars'!$F$4:$F$103,MATCH($B102,'Cars'!$A$4:$A$103,0))&amp;"",""))</f>
        <v/>
      </c>
      <c r="D102" s="16">
        <f>IF($L102="","",IF(INDEX('Schedule'!$C$4:$C$1003,$L102)="","",INDEX('Schedule'!$C$4:$C$1003,$L102)))</f>
        <v/>
      </c>
      <c r="E102" s="19">
        <f>IF($L102="","",IF(INDEX('Schedule'!$F$4:$F$1003,$L102)="","",INDEX('Schedule'!$F$4:$F$1003,$L102)))</f>
        <v/>
      </c>
      <c r="F102" s="20">
        <f>IF($L102="","",IF(INDEX('Schedule'!$G$4:$G$1003,$L102)="","",INDEX('Schedule'!$G$4:$G$1003,$L102)))</f>
        <v/>
      </c>
      <c r="G102" s="19">
        <f>IF($L102="","",IF(INDEX('Schedule'!$I$4:$I$1003,$L102)="","",INDEX('Schedule'!$I$4:$I$1003,$L102)))</f>
        <v/>
      </c>
      <c r="H102" s="21">
        <f>IF($L102="","",IF(INDEX('Schedule'!$J$4:$J$1003,$L102)="","",INDEX('Schedule'!$J$4:$J$1003,$L102)))</f>
        <v/>
      </c>
      <c r="I102" s="16">
        <f>IF($L102="","",IF(INDEX('Schedule'!$M$4:$M$1003,$L102)="","",INDEX('Schedule'!$M$4:$M$1003,$L102)))</f>
        <v/>
      </c>
      <c r="J102" s="15" t="n"/>
      <c r="K102" s="15" t="n"/>
      <c r="L102">
        <f>IFERROR(MATCH(SMALL('Schedule'!$O$4:$O$1003,99),'Schedule'!$O$4:$O$1003,0),"")</f>
        <v/>
      </c>
    </row>
    <row r="103">
      <c r="A103" s="16">
        <f>IF($L103="","",100)</f>
        <v/>
      </c>
      <c r="B103" s="16">
        <f>IF($L103="","",IF(INDEX('Schedule'!$A$4:$A$1003,$L103)="","",INDEX('Schedule'!$A$4:$A$1003,$L103)))</f>
        <v/>
      </c>
      <c r="C103" s="16">
        <f>IF($B103="","",IFERROR(INDEX('Cars'!$F$4:$F$103,MATCH($B103,'Cars'!$A$4:$A$103,0))&amp;"",""))</f>
        <v/>
      </c>
      <c r="D103" s="16">
        <f>IF($L103="","",IF(INDEX('Schedule'!$C$4:$C$1003,$L103)="","",INDEX('Schedule'!$C$4:$C$1003,$L103)))</f>
        <v/>
      </c>
      <c r="E103" s="19">
        <f>IF($L103="","",IF(INDEX('Schedule'!$F$4:$F$1003,$L103)="","",INDEX('Schedule'!$F$4:$F$1003,$L103)))</f>
        <v/>
      </c>
      <c r="F103" s="20">
        <f>IF($L103="","",IF(INDEX('Schedule'!$G$4:$G$1003,$L103)="","",INDEX('Schedule'!$G$4:$G$1003,$L103)))</f>
        <v/>
      </c>
      <c r="G103" s="19">
        <f>IF($L103="","",IF(INDEX('Schedule'!$I$4:$I$1003,$L103)="","",INDEX('Schedule'!$I$4:$I$1003,$L103)))</f>
        <v/>
      </c>
      <c r="H103" s="21">
        <f>IF($L103="","",IF(INDEX('Schedule'!$J$4:$J$1003,$L103)="","",INDEX('Schedule'!$J$4:$J$1003,$L103)))</f>
        <v/>
      </c>
      <c r="I103" s="16">
        <f>IF($L103="","",IF(INDEX('Schedule'!$M$4:$M$1003,$L103)="","",INDEX('Schedule'!$M$4:$M$1003,$L103)))</f>
        <v/>
      </c>
      <c r="J103" s="15" t="n"/>
      <c r="K103" s="15" t="n"/>
      <c r="L103">
        <f>IFERROR(MATCH(SMALL('Schedule'!$O$4:$O$1003,100),'Schedule'!$O$4:$O$1003,0),"")</f>
        <v/>
      </c>
    </row>
    <row r="104">
      <c r="A104" s="16">
        <f>IF($L104="","",101)</f>
        <v/>
      </c>
      <c r="B104" s="16">
        <f>IF($L104="","",IF(INDEX('Schedule'!$A$4:$A$1003,$L104)="","",INDEX('Schedule'!$A$4:$A$1003,$L104)))</f>
        <v/>
      </c>
      <c r="C104" s="16">
        <f>IF($B104="","",IFERROR(INDEX('Cars'!$F$4:$F$103,MATCH($B104,'Cars'!$A$4:$A$103,0))&amp;"",""))</f>
        <v/>
      </c>
      <c r="D104" s="16">
        <f>IF($L104="","",IF(INDEX('Schedule'!$C$4:$C$1003,$L104)="","",INDEX('Schedule'!$C$4:$C$1003,$L104)))</f>
        <v/>
      </c>
      <c r="E104" s="19">
        <f>IF($L104="","",IF(INDEX('Schedule'!$F$4:$F$1003,$L104)="","",INDEX('Schedule'!$F$4:$F$1003,$L104)))</f>
        <v/>
      </c>
      <c r="F104" s="20">
        <f>IF($L104="","",IF(INDEX('Schedule'!$G$4:$G$1003,$L104)="","",INDEX('Schedule'!$G$4:$G$1003,$L104)))</f>
        <v/>
      </c>
      <c r="G104" s="19">
        <f>IF($L104="","",IF(INDEX('Schedule'!$I$4:$I$1003,$L104)="","",INDEX('Schedule'!$I$4:$I$1003,$L104)))</f>
        <v/>
      </c>
      <c r="H104" s="21">
        <f>IF($L104="","",IF(INDEX('Schedule'!$J$4:$J$1003,$L104)="","",INDEX('Schedule'!$J$4:$J$1003,$L104)))</f>
        <v/>
      </c>
      <c r="I104" s="16">
        <f>IF($L104="","",IF(INDEX('Schedule'!$M$4:$M$1003,$L104)="","",INDEX('Schedule'!$M$4:$M$1003,$L104)))</f>
        <v/>
      </c>
      <c r="J104" s="15" t="n"/>
      <c r="K104" s="15" t="n"/>
      <c r="L104">
        <f>IFERROR(MATCH(SMALL('Schedule'!$O$4:$O$1003,101),'Schedule'!$O$4:$O$1003,0),"")</f>
        <v/>
      </c>
    </row>
    <row r="105">
      <c r="A105" s="16">
        <f>IF($L105="","",102)</f>
        <v/>
      </c>
      <c r="B105" s="16">
        <f>IF($L105="","",IF(INDEX('Schedule'!$A$4:$A$1003,$L105)="","",INDEX('Schedule'!$A$4:$A$1003,$L105)))</f>
        <v/>
      </c>
      <c r="C105" s="16">
        <f>IF($B105="","",IFERROR(INDEX('Cars'!$F$4:$F$103,MATCH($B105,'Cars'!$A$4:$A$103,0))&amp;"",""))</f>
        <v/>
      </c>
      <c r="D105" s="16">
        <f>IF($L105="","",IF(INDEX('Schedule'!$C$4:$C$1003,$L105)="","",INDEX('Schedule'!$C$4:$C$1003,$L105)))</f>
        <v/>
      </c>
      <c r="E105" s="19">
        <f>IF($L105="","",IF(INDEX('Schedule'!$F$4:$F$1003,$L105)="","",INDEX('Schedule'!$F$4:$F$1003,$L105)))</f>
        <v/>
      </c>
      <c r="F105" s="20">
        <f>IF($L105="","",IF(INDEX('Schedule'!$G$4:$G$1003,$L105)="","",INDEX('Schedule'!$G$4:$G$1003,$L105)))</f>
        <v/>
      </c>
      <c r="G105" s="19">
        <f>IF($L105="","",IF(INDEX('Schedule'!$I$4:$I$1003,$L105)="","",INDEX('Schedule'!$I$4:$I$1003,$L105)))</f>
        <v/>
      </c>
      <c r="H105" s="21">
        <f>IF($L105="","",IF(INDEX('Schedule'!$J$4:$J$1003,$L105)="","",INDEX('Schedule'!$J$4:$J$1003,$L105)))</f>
        <v/>
      </c>
      <c r="I105" s="16">
        <f>IF($L105="","",IF(INDEX('Schedule'!$M$4:$M$1003,$L105)="","",INDEX('Schedule'!$M$4:$M$1003,$L105)))</f>
        <v/>
      </c>
      <c r="J105" s="15" t="n"/>
      <c r="K105" s="15" t="n"/>
      <c r="L105">
        <f>IFERROR(MATCH(SMALL('Schedule'!$O$4:$O$1003,102),'Schedule'!$O$4:$O$1003,0),"")</f>
        <v/>
      </c>
    </row>
    <row r="106">
      <c r="A106" s="16">
        <f>IF($L106="","",103)</f>
        <v/>
      </c>
      <c r="B106" s="16">
        <f>IF($L106="","",IF(INDEX('Schedule'!$A$4:$A$1003,$L106)="","",INDEX('Schedule'!$A$4:$A$1003,$L106)))</f>
        <v/>
      </c>
      <c r="C106" s="16">
        <f>IF($B106="","",IFERROR(INDEX('Cars'!$F$4:$F$103,MATCH($B106,'Cars'!$A$4:$A$103,0))&amp;"",""))</f>
        <v/>
      </c>
      <c r="D106" s="16">
        <f>IF($L106="","",IF(INDEX('Schedule'!$C$4:$C$1003,$L106)="","",INDEX('Schedule'!$C$4:$C$1003,$L106)))</f>
        <v/>
      </c>
      <c r="E106" s="19">
        <f>IF($L106="","",IF(INDEX('Schedule'!$F$4:$F$1003,$L106)="","",INDEX('Schedule'!$F$4:$F$1003,$L106)))</f>
        <v/>
      </c>
      <c r="F106" s="20">
        <f>IF($L106="","",IF(INDEX('Schedule'!$G$4:$G$1003,$L106)="","",INDEX('Schedule'!$G$4:$G$1003,$L106)))</f>
        <v/>
      </c>
      <c r="G106" s="19">
        <f>IF($L106="","",IF(INDEX('Schedule'!$I$4:$I$1003,$L106)="","",INDEX('Schedule'!$I$4:$I$1003,$L106)))</f>
        <v/>
      </c>
      <c r="H106" s="21">
        <f>IF($L106="","",IF(INDEX('Schedule'!$J$4:$J$1003,$L106)="","",INDEX('Schedule'!$J$4:$J$1003,$L106)))</f>
        <v/>
      </c>
      <c r="I106" s="16">
        <f>IF($L106="","",IF(INDEX('Schedule'!$M$4:$M$1003,$L106)="","",INDEX('Schedule'!$M$4:$M$1003,$L106)))</f>
        <v/>
      </c>
      <c r="J106" s="15" t="n"/>
      <c r="K106" s="15" t="n"/>
      <c r="L106">
        <f>IFERROR(MATCH(SMALL('Schedule'!$O$4:$O$1003,103),'Schedule'!$O$4:$O$1003,0),"")</f>
        <v/>
      </c>
    </row>
    <row r="107">
      <c r="A107" s="16">
        <f>IF($L107="","",104)</f>
        <v/>
      </c>
      <c r="B107" s="16">
        <f>IF($L107="","",IF(INDEX('Schedule'!$A$4:$A$1003,$L107)="","",INDEX('Schedule'!$A$4:$A$1003,$L107)))</f>
        <v/>
      </c>
      <c r="C107" s="16">
        <f>IF($B107="","",IFERROR(INDEX('Cars'!$F$4:$F$103,MATCH($B107,'Cars'!$A$4:$A$103,0))&amp;"",""))</f>
        <v/>
      </c>
      <c r="D107" s="16">
        <f>IF($L107="","",IF(INDEX('Schedule'!$C$4:$C$1003,$L107)="","",INDEX('Schedule'!$C$4:$C$1003,$L107)))</f>
        <v/>
      </c>
      <c r="E107" s="19">
        <f>IF($L107="","",IF(INDEX('Schedule'!$F$4:$F$1003,$L107)="","",INDEX('Schedule'!$F$4:$F$1003,$L107)))</f>
        <v/>
      </c>
      <c r="F107" s="20">
        <f>IF($L107="","",IF(INDEX('Schedule'!$G$4:$G$1003,$L107)="","",INDEX('Schedule'!$G$4:$G$1003,$L107)))</f>
        <v/>
      </c>
      <c r="G107" s="19">
        <f>IF($L107="","",IF(INDEX('Schedule'!$I$4:$I$1003,$L107)="","",INDEX('Schedule'!$I$4:$I$1003,$L107)))</f>
        <v/>
      </c>
      <c r="H107" s="21">
        <f>IF($L107="","",IF(INDEX('Schedule'!$J$4:$J$1003,$L107)="","",INDEX('Schedule'!$J$4:$J$1003,$L107)))</f>
        <v/>
      </c>
      <c r="I107" s="16">
        <f>IF($L107="","",IF(INDEX('Schedule'!$M$4:$M$1003,$L107)="","",INDEX('Schedule'!$M$4:$M$1003,$L107)))</f>
        <v/>
      </c>
      <c r="J107" s="15" t="n"/>
      <c r="K107" s="15" t="n"/>
      <c r="L107">
        <f>IFERROR(MATCH(SMALL('Schedule'!$O$4:$O$1003,104),'Schedule'!$O$4:$O$1003,0),"")</f>
        <v/>
      </c>
    </row>
    <row r="108">
      <c r="A108" s="16">
        <f>IF($L108="","",105)</f>
        <v/>
      </c>
      <c r="B108" s="16">
        <f>IF($L108="","",IF(INDEX('Schedule'!$A$4:$A$1003,$L108)="","",INDEX('Schedule'!$A$4:$A$1003,$L108)))</f>
        <v/>
      </c>
      <c r="C108" s="16">
        <f>IF($B108="","",IFERROR(INDEX('Cars'!$F$4:$F$103,MATCH($B108,'Cars'!$A$4:$A$103,0))&amp;"",""))</f>
        <v/>
      </c>
      <c r="D108" s="16">
        <f>IF($L108="","",IF(INDEX('Schedule'!$C$4:$C$1003,$L108)="","",INDEX('Schedule'!$C$4:$C$1003,$L108)))</f>
        <v/>
      </c>
      <c r="E108" s="19">
        <f>IF($L108="","",IF(INDEX('Schedule'!$F$4:$F$1003,$L108)="","",INDEX('Schedule'!$F$4:$F$1003,$L108)))</f>
        <v/>
      </c>
      <c r="F108" s="20">
        <f>IF($L108="","",IF(INDEX('Schedule'!$G$4:$G$1003,$L108)="","",INDEX('Schedule'!$G$4:$G$1003,$L108)))</f>
        <v/>
      </c>
      <c r="G108" s="19">
        <f>IF($L108="","",IF(INDEX('Schedule'!$I$4:$I$1003,$L108)="","",INDEX('Schedule'!$I$4:$I$1003,$L108)))</f>
        <v/>
      </c>
      <c r="H108" s="21">
        <f>IF($L108="","",IF(INDEX('Schedule'!$J$4:$J$1003,$L108)="","",INDEX('Schedule'!$J$4:$J$1003,$L108)))</f>
        <v/>
      </c>
      <c r="I108" s="16">
        <f>IF($L108="","",IF(INDEX('Schedule'!$M$4:$M$1003,$L108)="","",INDEX('Schedule'!$M$4:$M$1003,$L108)))</f>
        <v/>
      </c>
      <c r="J108" s="15" t="n"/>
      <c r="K108" s="15" t="n"/>
      <c r="L108">
        <f>IFERROR(MATCH(SMALL('Schedule'!$O$4:$O$1003,105),'Schedule'!$O$4:$O$1003,0),"")</f>
        <v/>
      </c>
    </row>
    <row r="109">
      <c r="A109" s="16">
        <f>IF($L109="","",106)</f>
        <v/>
      </c>
      <c r="B109" s="16">
        <f>IF($L109="","",IF(INDEX('Schedule'!$A$4:$A$1003,$L109)="","",INDEX('Schedule'!$A$4:$A$1003,$L109)))</f>
        <v/>
      </c>
      <c r="C109" s="16">
        <f>IF($B109="","",IFERROR(INDEX('Cars'!$F$4:$F$103,MATCH($B109,'Cars'!$A$4:$A$103,0))&amp;"",""))</f>
        <v/>
      </c>
      <c r="D109" s="16">
        <f>IF($L109="","",IF(INDEX('Schedule'!$C$4:$C$1003,$L109)="","",INDEX('Schedule'!$C$4:$C$1003,$L109)))</f>
        <v/>
      </c>
      <c r="E109" s="19">
        <f>IF($L109="","",IF(INDEX('Schedule'!$F$4:$F$1003,$L109)="","",INDEX('Schedule'!$F$4:$F$1003,$L109)))</f>
        <v/>
      </c>
      <c r="F109" s="20">
        <f>IF($L109="","",IF(INDEX('Schedule'!$G$4:$G$1003,$L109)="","",INDEX('Schedule'!$G$4:$G$1003,$L109)))</f>
        <v/>
      </c>
      <c r="G109" s="19">
        <f>IF($L109="","",IF(INDEX('Schedule'!$I$4:$I$1003,$L109)="","",INDEX('Schedule'!$I$4:$I$1003,$L109)))</f>
        <v/>
      </c>
      <c r="H109" s="21">
        <f>IF($L109="","",IF(INDEX('Schedule'!$J$4:$J$1003,$L109)="","",INDEX('Schedule'!$J$4:$J$1003,$L109)))</f>
        <v/>
      </c>
      <c r="I109" s="16">
        <f>IF($L109="","",IF(INDEX('Schedule'!$M$4:$M$1003,$L109)="","",INDEX('Schedule'!$M$4:$M$1003,$L109)))</f>
        <v/>
      </c>
      <c r="J109" s="15" t="n"/>
      <c r="K109" s="15" t="n"/>
      <c r="L109">
        <f>IFERROR(MATCH(SMALL('Schedule'!$O$4:$O$1003,106),'Schedule'!$O$4:$O$1003,0),"")</f>
        <v/>
      </c>
    </row>
    <row r="110">
      <c r="A110" s="16">
        <f>IF($L110="","",107)</f>
        <v/>
      </c>
      <c r="B110" s="16">
        <f>IF($L110="","",IF(INDEX('Schedule'!$A$4:$A$1003,$L110)="","",INDEX('Schedule'!$A$4:$A$1003,$L110)))</f>
        <v/>
      </c>
      <c r="C110" s="16">
        <f>IF($B110="","",IFERROR(INDEX('Cars'!$F$4:$F$103,MATCH($B110,'Cars'!$A$4:$A$103,0))&amp;"",""))</f>
        <v/>
      </c>
      <c r="D110" s="16">
        <f>IF($L110="","",IF(INDEX('Schedule'!$C$4:$C$1003,$L110)="","",INDEX('Schedule'!$C$4:$C$1003,$L110)))</f>
        <v/>
      </c>
      <c r="E110" s="19">
        <f>IF($L110="","",IF(INDEX('Schedule'!$F$4:$F$1003,$L110)="","",INDEX('Schedule'!$F$4:$F$1003,$L110)))</f>
        <v/>
      </c>
      <c r="F110" s="20">
        <f>IF($L110="","",IF(INDEX('Schedule'!$G$4:$G$1003,$L110)="","",INDEX('Schedule'!$G$4:$G$1003,$L110)))</f>
        <v/>
      </c>
      <c r="G110" s="19">
        <f>IF($L110="","",IF(INDEX('Schedule'!$I$4:$I$1003,$L110)="","",INDEX('Schedule'!$I$4:$I$1003,$L110)))</f>
        <v/>
      </c>
      <c r="H110" s="21">
        <f>IF($L110="","",IF(INDEX('Schedule'!$J$4:$J$1003,$L110)="","",INDEX('Schedule'!$J$4:$J$1003,$L110)))</f>
        <v/>
      </c>
      <c r="I110" s="16">
        <f>IF($L110="","",IF(INDEX('Schedule'!$M$4:$M$1003,$L110)="","",INDEX('Schedule'!$M$4:$M$1003,$L110)))</f>
        <v/>
      </c>
      <c r="J110" s="15" t="n"/>
      <c r="K110" s="15" t="n"/>
      <c r="L110">
        <f>IFERROR(MATCH(SMALL('Schedule'!$O$4:$O$1003,107),'Schedule'!$O$4:$O$1003,0),"")</f>
        <v/>
      </c>
    </row>
    <row r="111">
      <c r="A111" s="16">
        <f>IF($L111="","",108)</f>
        <v/>
      </c>
      <c r="B111" s="16">
        <f>IF($L111="","",IF(INDEX('Schedule'!$A$4:$A$1003,$L111)="","",INDEX('Schedule'!$A$4:$A$1003,$L111)))</f>
        <v/>
      </c>
      <c r="C111" s="16">
        <f>IF($B111="","",IFERROR(INDEX('Cars'!$F$4:$F$103,MATCH($B111,'Cars'!$A$4:$A$103,0))&amp;"",""))</f>
        <v/>
      </c>
      <c r="D111" s="16">
        <f>IF($L111="","",IF(INDEX('Schedule'!$C$4:$C$1003,$L111)="","",INDEX('Schedule'!$C$4:$C$1003,$L111)))</f>
        <v/>
      </c>
      <c r="E111" s="19">
        <f>IF($L111="","",IF(INDEX('Schedule'!$F$4:$F$1003,$L111)="","",INDEX('Schedule'!$F$4:$F$1003,$L111)))</f>
        <v/>
      </c>
      <c r="F111" s="20">
        <f>IF($L111="","",IF(INDEX('Schedule'!$G$4:$G$1003,$L111)="","",INDEX('Schedule'!$G$4:$G$1003,$L111)))</f>
        <v/>
      </c>
      <c r="G111" s="19">
        <f>IF($L111="","",IF(INDEX('Schedule'!$I$4:$I$1003,$L111)="","",INDEX('Schedule'!$I$4:$I$1003,$L111)))</f>
        <v/>
      </c>
      <c r="H111" s="21">
        <f>IF($L111="","",IF(INDEX('Schedule'!$J$4:$J$1003,$L111)="","",INDEX('Schedule'!$J$4:$J$1003,$L111)))</f>
        <v/>
      </c>
      <c r="I111" s="16">
        <f>IF($L111="","",IF(INDEX('Schedule'!$M$4:$M$1003,$L111)="","",INDEX('Schedule'!$M$4:$M$1003,$L111)))</f>
        <v/>
      </c>
      <c r="J111" s="15" t="n"/>
      <c r="K111" s="15" t="n"/>
      <c r="L111">
        <f>IFERROR(MATCH(SMALL('Schedule'!$O$4:$O$1003,108),'Schedule'!$O$4:$O$1003,0),"")</f>
        <v/>
      </c>
    </row>
    <row r="112">
      <c r="A112" s="16">
        <f>IF($L112="","",109)</f>
        <v/>
      </c>
      <c r="B112" s="16">
        <f>IF($L112="","",IF(INDEX('Schedule'!$A$4:$A$1003,$L112)="","",INDEX('Schedule'!$A$4:$A$1003,$L112)))</f>
        <v/>
      </c>
      <c r="C112" s="16">
        <f>IF($B112="","",IFERROR(INDEX('Cars'!$F$4:$F$103,MATCH($B112,'Cars'!$A$4:$A$103,0))&amp;"",""))</f>
        <v/>
      </c>
      <c r="D112" s="16">
        <f>IF($L112="","",IF(INDEX('Schedule'!$C$4:$C$1003,$L112)="","",INDEX('Schedule'!$C$4:$C$1003,$L112)))</f>
        <v/>
      </c>
      <c r="E112" s="19">
        <f>IF($L112="","",IF(INDEX('Schedule'!$F$4:$F$1003,$L112)="","",INDEX('Schedule'!$F$4:$F$1003,$L112)))</f>
        <v/>
      </c>
      <c r="F112" s="20">
        <f>IF($L112="","",IF(INDEX('Schedule'!$G$4:$G$1003,$L112)="","",INDEX('Schedule'!$G$4:$G$1003,$L112)))</f>
        <v/>
      </c>
      <c r="G112" s="19">
        <f>IF($L112="","",IF(INDEX('Schedule'!$I$4:$I$1003,$L112)="","",INDEX('Schedule'!$I$4:$I$1003,$L112)))</f>
        <v/>
      </c>
      <c r="H112" s="21">
        <f>IF($L112="","",IF(INDEX('Schedule'!$J$4:$J$1003,$L112)="","",INDEX('Schedule'!$J$4:$J$1003,$L112)))</f>
        <v/>
      </c>
      <c r="I112" s="16">
        <f>IF($L112="","",IF(INDEX('Schedule'!$M$4:$M$1003,$L112)="","",INDEX('Schedule'!$M$4:$M$1003,$L112)))</f>
        <v/>
      </c>
      <c r="J112" s="15" t="n"/>
      <c r="K112" s="15" t="n"/>
      <c r="L112">
        <f>IFERROR(MATCH(SMALL('Schedule'!$O$4:$O$1003,109),'Schedule'!$O$4:$O$1003,0),"")</f>
        <v/>
      </c>
    </row>
    <row r="113">
      <c r="A113" s="16">
        <f>IF($L113="","",110)</f>
        <v/>
      </c>
      <c r="B113" s="16">
        <f>IF($L113="","",IF(INDEX('Schedule'!$A$4:$A$1003,$L113)="","",INDEX('Schedule'!$A$4:$A$1003,$L113)))</f>
        <v/>
      </c>
      <c r="C113" s="16">
        <f>IF($B113="","",IFERROR(INDEX('Cars'!$F$4:$F$103,MATCH($B113,'Cars'!$A$4:$A$103,0))&amp;"",""))</f>
        <v/>
      </c>
      <c r="D113" s="16">
        <f>IF($L113="","",IF(INDEX('Schedule'!$C$4:$C$1003,$L113)="","",INDEX('Schedule'!$C$4:$C$1003,$L113)))</f>
        <v/>
      </c>
      <c r="E113" s="19">
        <f>IF($L113="","",IF(INDEX('Schedule'!$F$4:$F$1003,$L113)="","",INDEX('Schedule'!$F$4:$F$1003,$L113)))</f>
        <v/>
      </c>
      <c r="F113" s="20">
        <f>IF($L113="","",IF(INDEX('Schedule'!$G$4:$G$1003,$L113)="","",INDEX('Schedule'!$G$4:$G$1003,$L113)))</f>
        <v/>
      </c>
      <c r="G113" s="19">
        <f>IF($L113="","",IF(INDEX('Schedule'!$I$4:$I$1003,$L113)="","",INDEX('Schedule'!$I$4:$I$1003,$L113)))</f>
        <v/>
      </c>
      <c r="H113" s="21">
        <f>IF($L113="","",IF(INDEX('Schedule'!$J$4:$J$1003,$L113)="","",INDEX('Schedule'!$J$4:$J$1003,$L113)))</f>
        <v/>
      </c>
      <c r="I113" s="16">
        <f>IF($L113="","",IF(INDEX('Schedule'!$M$4:$M$1003,$L113)="","",INDEX('Schedule'!$M$4:$M$1003,$L113)))</f>
        <v/>
      </c>
      <c r="J113" s="15" t="n"/>
      <c r="K113" s="15" t="n"/>
      <c r="L113">
        <f>IFERROR(MATCH(SMALL('Schedule'!$O$4:$O$1003,110),'Schedule'!$O$4:$O$1003,0),"")</f>
        <v/>
      </c>
    </row>
    <row r="114">
      <c r="A114" s="16">
        <f>IF($L114="","",111)</f>
        <v/>
      </c>
      <c r="B114" s="16">
        <f>IF($L114="","",IF(INDEX('Schedule'!$A$4:$A$1003,$L114)="","",INDEX('Schedule'!$A$4:$A$1003,$L114)))</f>
        <v/>
      </c>
      <c r="C114" s="16">
        <f>IF($B114="","",IFERROR(INDEX('Cars'!$F$4:$F$103,MATCH($B114,'Cars'!$A$4:$A$103,0))&amp;"",""))</f>
        <v/>
      </c>
      <c r="D114" s="16">
        <f>IF($L114="","",IF(INDEX('Schedule'!$C$4:$C$1003,$L114)="","",INDEX('Schedule'!$C$4:$C$1003,$L114)))</f>
        <v/>
      </c>
      <c r="E114" s="19">
        <f>IF($L114="","",IF(INDEX('Schedule'!$F$4:$F$1003,$L114)="","",INDEX('Schedule'!$F$4:$F$1003,$L114)))</f>
        <v/>
      </c>
      <c r="F114" s="20">
        <f>IF($L114="","",IF(INDEX('Schedule'!$G$4:$G$1003,$L114)="","",INDEX('Schedule'!$G$4:$G$1003,$L114)))</f>
        <v/>
      </c>
      <c r="G114" s="19">
        <f>IF($L114="","",IF(INDEX('Schedule'!$I$4:$I$1003,$L114)="","",INDEX('Schedule'!$I$4:$I$1003,$L114)))</f>
        <v/>
      </c>
      <c r="H114" s="21">
        <f>IF($L114="","",IF(INDEX('Schedule'!$J$4:$J$1003,$L114)="","",INDEX('Schedule'!$J$4:$J$1003,$L114)))</f>
        <v/>
      </c>
      <c r="I114" s="16">
        <f>IF($L114="","",IF(INDEX('Schedule'!$M$4:$M$1003,$L114)="","",INDEX('Schedule'!$M$4:$M$1003,$L114)))</f>
        <v/>
      </c>
      <c r="J114" s="15" t="n"/>
      <c r="K114" s="15" t="n"/>
      <c r="L114">
        <f>IFERROR(MATCH(SMALL('Schedule'!$O$4:$O$1003,111),'Schedule'!$O$4:$O$1003,0),"")</f>
        <v/>
      </c>
    </row>
    <row r="115">
      <c r="A115" s="16">
        <f>IF($L115="","",112)</f>
        <v/>
      </c>
      <c r="B115" s="16">
        <f>IF($L115="","",IF(INDEX('Schedule'!$A$4:$A$1003,$L115)="","",INDEX('Schedule'!$A$4:$A$1003,$L115)))</f>
        <v/>
      </c>
      <c r="C115" s="16">
        <f>IF($B115="","",IFERROR(INDEX('Cars'!$F$4:$F$103,MATCH($B115,'Cars'!$A$4:$A$103,0))&amp;"",""))</f>
        <v/>
      </c>
      <c r="D115" s="16">
        <f>IF($L115="","",IF(INDEX('Schedule'!$C$4:$C$1003,$L115)="","",INDEX('Schedule'!$C$4:$C$1003,$L115)))</f>
        <v/>
      </c>
      <c r="E115" s="19">
        <f>IF($L115="","",IF(INDEX('Schedule'!$F$4:$F$1003,$L115)="","",INDEX('Schedule'!$F$4:$F$1003,$L115)))</f>
        <v/>
      </c>
      <c r="F115" s="20">
        <f>IF($L115="","",IF(INDEX('Schedule'!$G$4:$G$1003,$L115)="","",INDEX('Schedule'!$G$4:$G$1003,$L115)))</f>
        <v/>
      </c>
      <c r="G115" s="19">
        <f>IF($L115="","",IF(INDEX('Schedule'!$I$4:$I$1003,$L115)="","",INDEX('Schedule'!$I$4:$I$1003,$L115)))</f>
        <v/>
      </c>
      <c r="H115" s="21">
        <f>IF($L115="","",IF(INDEX('Schedule'!$J$4:$J$1003,$L115)="","",INDEX('Schedule'!$J$4:$J$1003,$L115)))</f>
        <v/>
      </c>
      <c r="I115" s="16">
        <f>IF($L115="","",IF(INDEX('Schedule'!$M$4:$M$1003,$L115)="","",INDEX('Schedule'!$M$4:$M$1003,$L115)))</f>
        <v/>
      </c>
      <c r="J115" s="15" t="n"/>
      <c r="K115" s="15" t="n"/>
      <c r="L115">
        <f>IFERROR(MATCH(SMALL('Schedule'!$O$4:$O$1003,112),'Schedule'!$O$4:$O$1003,0),"")</f>
        <v/>
      </c>
    </row>
    <row r="116">
      <c r="A116" s="16">
        <f>IF($L116="","",113)</f>
        <v/>
      </c>
      <c r="B116" s="16">
        <f>IF($L116="","",IF(INDEX('Schedule'!$A$4:$A$1003,$L116)="","",INDEX('Schedule'!$A$4:$A$1003,$L116)))</f>
        <v/>
      </c>
      <c r="C116" s="16">
        <f>IF($B116="","",IFERROR(INDEX('Cars'!$F$4:$F$103,MATCH($B116,'Cars'!$A$4:$A$103,0))&amp;"",""))</f>
        <v/>
      </c>
      <c r="D116" s="16">
        <f>IF($L116="","",IF(INDEX('Schedule'!$C$4:$C$1003,$L116)="","",INDEX('Schedule'!$C$4:$C$1003,$L116)))</f>
        <v/>
      </c>
      <c r="E116" s="19">
        <f>IF($L116="","",IF(INDEX('Schedule'!$F$4:$F$1003,$L116)="","",INDEX('Schedule'!$F$4:$F$1003,$L116)))</f>
        <v/>
      </c>
      <c r="F116" s="20">
        <f>IF($L116="","",IF(INDEX('Schedule'!$G$4:$G$1003,$L116)="","",INDEX('Schedule'!$G$4:$G$1003,$L116)))</f>
        <v/>
      </c>
      <c r="G116" s="19">
        <f>IF($L116="","",IF(INDEX('Schedule'!$I$4:$I$1003,$L116)="","",INDEX('Schedule'!$I$4:$I$1003,$L116)))</f>
        <v/>
      </c>
      <c r="H116" s="21">
        <f>IF($L116="","",IF(INDEX('Schedule'!$J$4:$J$1003,$L116)="","",INDEX('Schedule'!$J$4:$J$1003,$L116)))</f>
        <v/>
      </c>
      <c r="I116" s="16">
        <f>IF($L116="","",IF(INDEX('Schedule'!$M$4:$M$1003,$L116)="","",INDEX('Schedule'!$M$4:$M$1003,$L116)))</f>
        <v/>
      </c>
      <c r="J116" s="15" t="n"/>
      <c r="K116" s="15" t="n"/>
      <c r="L116">
        <f>IFERROR(MATCH(SMALL('Schedule'!$O$4:$O$1003,113),'Schedule'!$O$4:$O$1003,0),"")</f>
        <v/>
      </c>
    </row>
    <row r="117">
      <c r="A117" s="16">
        <f>IF($L117="","",114)</f>
        <v/>
      </c>
      <c r="B117" s="16">
        <f>IF($L117="","",IF(INDEX('Schedule'!$A$4:$A$1003,$L117)="","",INDEX('Schedule'!$A$4:$A$1003,$L117)))</f>
        <v/>
      </c>
      <c r="C117" s="16">
        <f>IF($B117="","",IFERROR(INDEX('Cars'!$F$4:$F$103,MATCH($B117,'Cars'!$A$4:$A$103,0))&amp;"",""))</f>
        <v/>
      </c>
      <c r="D117" s="16">
        <f>IF($L117="","",IF(INDEX('Schedule'!$C$4:$C$1003,$L117)="","",INDEX('Schedule'!$C$4:$C$1003,$L117)))</f>
        <v/>
      </c>
      <c r="E117" s="19">
        <f>IF($L117="","",IF(INDEX('Schedule'!$F$4:$F$1003,$L117)="","",INDEX('Schedule'!$F$4:$F$1003,$L117)))</f>
        <v/>
      </c>
      <c r="F117" s="20">
        <f>IF($L117="","",IF(INDEX('Schedule'!$G$4:$G$1003,$L117)="","",INDEX('Schedule'!$G$4:$G$1003,$L117)))</f>
        <v/>
      </c>
      <c r="G117" s="19">
        <f>IF($L117="","",IF(INDEX('Schedule'!$I$4:$I$1003,$L117)="","",INDEX('Schedule'!$I$4:$I$1003,$L117)))</f>
        <v/>
      </c>
      <c r="H117" s="21">
        <f>IF($L117="","",IF(INDEX('Schedule'!$J$4:$J$1003,$L117)="","",INDEX('Schedule'!$J$4:$J$1003,$L117)))</f>
        <v/>
      </c>
      <c r="I117" s="16">
        <f>IF($L117="","",IF(INDEX('Schedule'!$M$4:$M$1003,$L117)="","",INDEX('Schedule'!$M$4:$M$1003,$L117)))</f>
        <v/>
      </c>
      <c r="J117" s="15" t="n"/>
      <c r="K117" s="15" t="n"/>
      <c r="L117">
        <f>IFERROR(MATCH(SMALL('Schedule'!$O$4:$O$1003,114),'Schedule'!$O$4:$O$1003,0),"")</f>
        <v/>
      </c>
    </row>
    <row r="118">
      <c r="A118" s="16">
        <f>IF($L118="","",115)</f>
        <v/>
      </c>
      <c r="B118" s="16">
        <f>IF($L118="","",IF(INDEX('Schedule'!$A$4:$A$1003,$L118)="","",INDEX('Schedule'!$A$4:$A$1003,$L118)))</f>
        <v/>
      </c>
      <c r="C118" s="16">
        <f>IF($B118="","",IFERROR(INDEX('Cars'!$F$4:$F$103,MATCH($B118,'Cars'!$A$4:$A$103,0))&amp;"",""))</f>
        <v/>
      </c>
      <c r="D118" s="16">
        <f>IF($L118="","",IF(INDEX('Schedule'!$C$4:$C$1003,$L118)="","",INDEX('Schedule'!$C$4:$C$1003,$L118)))</f>
        <v/>
      </c>
      <c r="E118" s="19">
        <f>IF($L118="","",IF(INDEX('Schedule'!$F$4:$F$1003,$L118)="","",INDEX('Schedule'!$F$4:$F$1003,$L118)))</f>
        <v/>
      </c>
      <c r="F118" s="20">
        <f>IF($L118="","",IF(INDEX('Schedule'!$G$4:$G$1003,$L118)="","",INDEX('Schedule'!$G$4:$G$1003,$L118)))</f>
        <v/>
      </c>
      <c r="G118" s="19">
        <f>IF($L118="","",IF(INDEX('Schedule'!$I$4:$I$1003,$L118)="","",INDEX('Schedule'!$I$4:$I$1003,$L118)))</f>
        <v/>
      </c>
      <c r="H118" s="21">
        <f>IF($L118="","",IF(INDEX('Schedule'!$J$4:$J$1003,$L118)="","",INDEX('Schedule'!$J$4:$J$1003,$L118)))</f>
        <v/>
      </c>
      <c r="I118" s="16">
        <f>IF($L118="","",IF(INDEX('Schedule'!$M$4:$M$1003,$L118)="","",INDEX('Schedule'!$M$4:$M$1003,$L118)))</f>
        <v/>
      </c>
      <c r="J118" s="15" t="n"/>
      <c r="K118" s="15" t="n"/>
      <c r="L118">
        <f>IFERROR(MATCH(SMALL('Schedule'!$O$4:$O$1003,115),'Schedule'!$O$4:$O$1003,0),"")</f>
        <v/>
      </c>
    </row>
    <row r="119">
      <c r="A119" s="16">
        <f>IF($L119="","",116)</f>
        <v/>
      </c>
      <c r="B119" s="16">
        <f>IF($L119="","",IF(INDEX('Schedule'!$A$4:$A$1003,$L119)="","",INDEX('Schedule'!$A$4:$A$1003,$L119)))</f>
        <v/>
      </c>
      <c r="C119" s="16">
        <f>IF($B119="","",IFERROR(INDEX('Cars'!$F$4:$F$103,MATCH($B119,'Cars'!$A$4:$A$103,0))&amp;"",""))</f>
        <v/>
      </c>
      <c r="D119" s="16">
        <f>IF($L119="","",IF(INDEX('Schedule'!$C$4:$C$1003,$L119)="","",INDEX('Schedule'!$C$4:$C$1003,$L119)))</f>
        <v/>
      </c>
      <c r="E119" s="19">
        <f>IF($L119="","",IF(INDEX('Schedule'!$F$4:$F$1003,$L119)="","",INDEX('Schedule'!$F$4:$F$1003,$L119)))</f>
        <v/>
      </c>
      <c r="F119" s="20">
        <f>IF($L119="","",IF(INDEX('Schedule'!$G$4:$G$1003,$L119)="","",INDEX('Schedule'!$G$4:$G$1003,$L119)))</f>
        <v/>
      </c>
      <c r="G119" s="19">
        <f>IF($L119="","",IF(INDEX('Schedule'!$I$4:$I$1003,$L119)="","",INDEX('Schedule'!$I$4:$I$1003,$L119)))</f>
        <v/>
      </c>
      <c r="H119" s="21">
        <f>IF($L119="","",IF(INDEX('Schedule'!$J$4:$J$1003,$L119)="","",INDEX('Schedule'!$J$4:$J$1003,$L119)))</f>
        <v/>
      </c>
      <c r="I119" s="16">
        <f>IF($L119="","",IF(INDEX('Schedule'!$M$4:$M$1003,$L119)="","",INDEX('Schedule'!$M$4:$M$1003,$L119)))</f>
        <v/>
      </c>
      <c r="J119" s="15" t="n"/>
      <c r="K119" s="15" t="n"/>
      <c r="L119">
        <f>IFERROR(MATCH(SMALL('Schedule'!$O$4:$O$1003,116),'Schedule'!$O$4:$O$1003,0),"")</f>
        <v/>
      </c>
    </row>
    <row r="120">
      <c r="A120" s="16">
        <f>IF($L120="","",117)</f>
        <v/>
      </c>
      <c r="B120" s="16">
        <f>IF($L120="","",IF(INDEX('Schedule'!$A$4:$A$1003,$L120)="","",INDEX('Schedule'!$A$4:$A$1003,$L120)))</f>
        <v/>
      </c>
      <c r="C120" s="16">
        <f>IF($B120="","",IFERROR(INDEX('Cars'!$F$4:$F$103,MATCH($B120,'Cars'!$A$4:$A$103,0))&amp;"",""))</f>
        <v/>
      </c>
      <c r="D120" s="16">
        <f>IF($L120="","",IF(INDEX('Schedule'!$C$4:$C$1003,$L120)="","",INDEX('Schedule'!$C$4:$C$1003,$L120)))</f>
        <v/>
      </c>
      <c r="E120" s="19">
        <f>IF($L120="","",IF(INDEX('Schedule'!$F$4:$F$1003,$L120)="","",INDEX('Schedule'!$F$4:$F$1003,$L120)))</f>
        <v/>
      </c>
      <c r="F120" s="20">
        <f>IF($L120="","",IF(INDEX('Schedule'!$G$4:$G$1003,$L120)="","",INDEX('Schedule'!$G$4:$G$1003,$L120)))</f>
        <v/>
      </c>
      <c r="G120" s="19">
        <f>IF($L120="","",IF(INDEX('Schedule'!$I$4:$I$1003,$L120)="","",INDEX('Schedule'!$I$4:$I$1003,$L120)))</f>
        <v/>
      </c>
      <c r="H120" s="21">
        <f>IF($L120="","",IF(INDEX('Schedule'!$J$4:$J$1003,$L120)="","",INDEX('Schedule'!$J$4:$J$1003,$L120)))</f>
        <v/>
      </c>
      <c r="I120" s="16">
        <f>IF($L120="","",IF(INDEX('Schedule'!$M$4:$M$1003,$L120)="","",INDEX('Schedule'!$M$4:$M$1003,$L120)))</f>
        <v/>
      </c>
      <c r="J120" s="15" t="n"/>
      <c r="K120" s="15" t="n"/>
      <c r="L120">
        <f>IFERROR(MATCH(SMALL('Schedule'!$O$4:$O$1003,117),'Schedule'!$O$4:$O$1003,0),"")</f>
        <v/>
      </c>
    </row>
    <row r="121">
      <c r="A121" s="16">
        <f>IF($L121="","",118)</f>
        <v/>
      </c>
      <c r="B121" s="16">
        <f>IF($L121="","",IF(INDEX('Schedule'!$A$4:$A$1003,$L121)="","",INDEX('Schedule'!$A$4:$A$1003,$L121)))</f>
        <v/>
      </c>
      <c r="C121" s="16">
        <f>IF($B121="","",IFERROR(INDEX('Cars'!$F$4:$F$103,MATCH($B121,'Cars'!$A$4:$A$103,0))&amp;"",""))</f>
        <v/>
      </c>
      <c r="D121" s="16">
        <f>IF($L121="","",IF(INDEX('Schedule'!$C$4:$C$1003,$L121)="","",INDEX('Schedule'!$C$4:$C$1003,$L121)))</f>
        <v/>
      </c>
      <c r="E121" s="19">
        <f>IF($L121="","",IF(INDEX('Schedule'!$F$4:$F$1003,$L121)="","",INDEX('Schedule'!$F$4:$F$1003,$L121)))</f>
        <v/>
      </c>
      <c r="F121" s="20">
        <f>IF($L121="","",IF(INDEX('Schedule'!$G$4:$G$1003,$L121)="","",INDEX('Schedule'!$G$4:$G$1003,$L121)))</f>
        <v/>
      </c>
      <c r="G121" s="19">
        <f>IF($L121="","",IF(INDEX('Schedule'!$I$4:$I$1003,$L121)="","",INDEX('Schedule'!$I$4:$I$1003,$L121)))</f>
        <v/>
      </c>
      <c r="H121" s="21">
        <f>IF($L121="","",IF(INDEX('Schedule'!$J$4:$J$1003,$L121)="","",INDEX('Schedule'!$J$4:$J$1003,$L121)))</f>
        <v/>
      </c>
      <c r="I121" s="16">
        <f>IF($L121="","",IF(INDEX('Schedule'!$M$4:$M$1003,$L121)="","",INDEX('Schedule'!$M$4:$M$1003,$L121)))</f>
        <v/>
      </c>
      <c r="J121" s="15" t="n"/>
      <c r="K121" s="15" t="n"/>
      <c r="L121">
        <f>IFERROR(MATCH(SMALL('Schedule'!$O$4:$O$1003,118),'Schedule'!$O$4:$O$1003,0),"")</f>
        <v/>
      </c>
    </row>
    <row r="122">
      <c r="A122" s="16">
        <f>IF($L122="","",119)</f>
        <v/>
      </c>
      <c r="B122" s="16">
        <f>IF($L122="","",IF(INDEX('Schedule'!$A$4:$A$1003,$L122)="","",INDEX('Schedule'!$A$4:$A$1003,$L122)))</f>
        <v/>
      </c>
      <c r="C122" s="16">
        <f>IF($B122="","",IFERROR(INDEX('Cars'!$F$4:$F$103,MATCH($B122,'Cars'!$A$4:$A$103,0))&amp;"",""))</f>
        <v/>
      </c>
      <c r="D122" s="16">
        <f>IF($L122="","",IF(INDEX('Schedule'!$C$4:$C$1003,$L122)="","",INDEX('Schedule'!$C$4:$C$1003,$L122)))</f>
        <v/>
      </c>
      <c r="E122" s="19">
        <f>IF($L122="","",IF(INDEX('Schedule'!$F$4:$F$1003,$L122)="","",INDEX('Schedule'!$F$4:$F$1003,$L122)))</f>
        <v/>
      </c>
      <c r="F122" s="20">
        <f>IF($L122="","",IF(INDEX('Schedule'!$G$4:$G$1003,$L122)="","",INDEX('Schedule'!$G$4:$G$1003,$L122)))</f>
        <v/>
      </c>
      <c r="G122" s="19">
        <f>IF($L122="","",IF(INDEX('Schedule'!$I$4:$I$1003,$L122)="","",INDEX('Schedule'!$I$4:$I$1003,$L122)))</f>
        <v/>
      </c>
      <c r="H122" s="21">
        <f>IF($L122="","",IF(INDEX('Schedule'!$J$4:$J$1003,$L122)="","",INDEX('Schedule'!$J$4:$J$1003,$L122)))</f>
        <v/>
      </c>
      <c r="I122" s="16">
        <f>IF($L122="","",IF(INDEX('Schedule'!$M$4:$M$1003,$L122)="","",INDEX('Schedule'!$M$4:$M$1003,$L122)))</f>
        <v/>
      </c>
      <c r="J122" s="15" t="n"/>
      <c r="K122" s="15" t="n"/>
      <c r="L122">
        <f>IFERROR(MATCH(SMALL('Schedule'!$O$4:$O$1003,119),'Schedule'!$O$4:$O$1003,0),"")</f>
        <v/>
      </c>
    </row>
    <row r="123">
      <c r="A123" s="16">
        <f>IF($L123="","",120)</f>
        <v/>
      </c>
      <c r="B123" s="16">
        <f>IF($L123="","",IF(INDEX('Schedule'!$A$4:$A$1003,$L123)="","",INDEX('Schedule'!$A$4:$A$1003,$L123)))</f>
        <v/>
      </c>
      <c r="C123" s="16">
        <f>IF($B123="","",IFERROR(INDEX('Cars'!$F$4:$F$103,MATCH($B123,'Cars'!$A$4:$A$103,0))&amp;"",""))</f>
        <v/>
      </c>
      <c r="D123" s="16">
        <f>IF($L123="","",IF(INDEX('Schedule'!$C$4:$C$1003,$L123)="","",INDEX('Schedule'!$C$4:$C$1003,$L123)))</f>
        <v/>
      </c>
      <c r="E123" s="19">
        <f>IF($L123="","",IF(INDEX('Schedule'!$F$4:$F$1003,$L123)="","",INDEX('Schedule'!$F$4:$F$1003,$L123)))</f>
        <v/>
      </c>
      <c r="F123" s="20">
        <f>IF($L123="","",IF(INDEX('Schedule'!$G$4:$G$1003,$L123)="","",INDEX('Schedule'!$G$4:$G$1003,$L123)))</f>
        <v/>
      </c>
      <c r="G123" s="19">
        <f>IF($L123="","",IF(INDEX('Schedule'!$I$4:$I$1003,$L123)="","",INDEX('Schedule'!$I$4:$I$1003,$L123)))</f>
        <v/>
      </c>
      <c r="H123" s="21">
        <f>IF($L123="","",IF(INDEX('Schedule'!$J$4:$J$1003,$L123)="","",INDEX('Schedule'!$J$4:$J$1003,$L123)))</f>
        <v/>
      </c>
      <c r="I123" s="16">
        <f>IF($L123="","",IF(INDEX('Schedule'!$M$4:$M$1003,$L123)="","",INDEX('Schedule'!$M$4:$M$1003,$L123)))</f>
        <v/>
      </c>
      <c r="J123" s="15" t="n"/>
      <c r="K123" s="15" t="n"/>
      <c r="L123">
        <f>IFERROR(MATCH(SMALL('Schedule'!$O$4:$O$1003,120),'Schedule'!$O$4:$O$1003,0),"")</f>
        <v/>
      </c>
    </row>
    <row r="124">
      <c r="A124" s="16">
        <f>IF($L124="","",121)</f>
        <v/>
      </c>
      <c r="B124" s="16">
        <f>IF($L124="","",IF(INDEX('Schedule'!$A$4:$A$1003,$L124)="","",INDEX('Schedule'!$A$4:$A$1003,$L124)))</f>
        <v/>
      </c>
      <c r="C124" s="16">
        <f>IF($B124="","",IFERROR(INDEX('Cars'!$F$4:$F$103,MATCH($B124,'Cars'!$A$4:$A$103,0))&amp;"",""))</f>
        <v/>
      </c>
      <c r="D124" s="16">
        <f>IF($L124="","",IF(INDEX('Schedule'!$C$4:$C$1003,$L124)="","",INDEX('Schedule'!$C$4:$C$1003,$L124)))</f>
        <v/>
      </c>
      <c r="E124" s="19">
        <f>IF($L124="","",IF(INDEX('Schedule'!$F$4:$F$1003,$L124)="","",INDEX('Schedule'!$F$4:$F$1003,$L124)))</f>
        <v/>
      </c>
      <c r="F124" s="20">
        <f>IF($L124="","",IF(INDEX('Schedule'!$G$4:$G$1003,$L124)="","",INDEX('Schedule'!$G$4:$G$1003,$L124)))</f>
        <v/>
      </c>
      <c r="G124" s="19">
        <f>IF($L124="","",IF(INDEX('Schedule'!$I$4:$I$1003,$L124)="","",INDEX('Schedule'!$I$4:$I$1003,$L124)))</f>
        <v/>
      </c>
      <c r="H124" s="21">
        <f>IF($L124="","",IF(INDEX('Schedule'!$J$4:$J$1003,$L124)="","",INDEX('Schedule'!$J$4:$J$1003,$L124)))</f>
        <v/>
      </c>
      <c r="I124" s="16">
        <f>IF($L124="","",IF(INDEX('Schedule'!$M$4:$M$1003,$L124)="","",INDEX('Schedule'!$M$4:$M$1003,$L124)))</f>
        <v/>
      </c>
      <c r="J124" s="15" t="n"/>
      <c r="K124" s="15" t="n"/>
      <c r="L124">
        <f>IFERROR(MATCH(SMALL('Schedule'!$O$4:$O$1003,121),'Schedule'!$O$4:$O$1003,0),"")</f>
        <v/>
      </c>
    </row>
    <row r="125">
      <c r="A125" s="16">
        <f>IF($L125="","",122)</f>
        <v/>
      </c>
      <c r="B125" s="16">
        <f>IF($L125="","",IF(INDEX('Schedule'!$A$4:$A$1003,$L125)="","",INDEX('Schedule'!$A$4:$A$1003,$L125)))</f>
        <v/>
      </c>
      <c r="C125" s="16">
        <f>IF($B125="","",IFERROR(INDEX('Cars'!$F$4:$F$103,MATCH($B125,'Cars'!$A$4:$A$103,0))&amp;"",""))</f>
        <v/>
      </c>
      <c r="D125" s="16">
        <f>IF($L125="","",IF(INDEX('Schedule'!$C$4:$C$1003,$L125)="","",INDEX('Schedule'!$C$4:$C$1003,$L125)))</f>
        <v/>
      </c>
      <c r="E125" s="19">
        <f>IF($L125="","",IF(INDEX('Schedule'!$F$4:$F$1003,$L125)="","",INDEX('Schedule'!$F$4:$F$1003,$L125)))</f>
        <v/>
      </c>
      <c r="F125" s="20">
        <f>IF($L125="","",IF(INDEX('Schedule'!$G$4:$G$1003,$L125)="","",INDEX('Schedule'!$G$4:$G$1003,$L125)))</f>
        <v/>
      </c>
      <c r="G125" s="19">
        <f>IF($L125="","",IF(INDEX('Schedule'!$I$4:$I$1003,$L125)="","",INDEX('Schedule'!$I$4:$I$1003,$L125)))</f>
        <v/>
      </c>
      <c r="H125" s="21">
        <f>IF($L125="","",IF(INDEX('Schedule'!$J$4:$J$1003,$L125)="","",INDEX('Schedule'!$J$4:$J$1003,$L125)))</f>
        <v/>
      </c>
      <c r="I125" s="16">
        <f>IF($L125="","",IF(INDEX('Schedule'!$M$4:$M$1003,$L125)="","",INDEX('Schedule'!$M$4:$M$1003,$L125)))</f>
        <v/>
      </c>
      <c r="J125" s="15" t="n"/>
      <c r="K125" s="15" t="n"/>
      <c r="L125">
        <f>IFERROR(MATCH(SMALL('Schedule'!$O$4:$O$1003,122),'Schedule'!$O$4:$O$1003,0),"")</f>
        <v/>
      </c>
    </row>
    <row r="126">
      <c r="A126" s="16">
        <f>IF($L126="","",123)</f>
        <v/>
      </c>
      <c r="B126" s="16">
        <f>IF($L126="","",IF(INDEX('Schedule'!$A$4:$A$1003,$L126)="","",INDEX('Schedule'!$A$4:$A$1003,$L126)))</f>
        <v/>
      </c>
      <c r="C126" s="16">
        <f>IF($B126="","",IFERROR(INDEX('Cars'!$F$4:$F$103,MATCH($B126,'Cars'!$A$4:$A$103,0))&amp;"",""))</f>
        <v/>
      </c>
      <c r="D126" s="16">
        <f>IF($L126="","",IF(INDEX('Schedule'!$C$4:$C$1003,$L126)="","",INDEX('Schedule'!$C$4:$C$1003,$L126)))</f>
        <v/>
      </c>
      <c r="E126" s="19">
        <f>IF($L126="","",IF(INDEX('Schedule'!$F$4:$F$1003,$L126)="","",INDEX('Schedule'!$F$4:$F$1003,$L126)))</f>
        <v/>
      </c>
      <c r="F126" s="20">
        <f>IF($L126="","",IF(INDEX('Schedule'!$G$4:$G$1003,$L126)="","",INDEX('Schedule'!$G$4:$G$1003,$L126)))</f>
        <v/>
      </c>
      <c r="G126" s="19">
        <f>IF($L126="","",IF(INDEX('Schedule'!$I$4:$I$1003,$L126)="","",INDEX('Schedule'!$I$4:$I$1003,$L126)))</f>
        <v/>
      </c>
      <c r="H126" s="21">
        <f>IF($L126="","",IF(INDEX('Schedule'!$J$4:$J$1003,$L126)="","",INDEX('Schedule'!$J$4:$J$1003,$L126)))</f>
        <v/>
      </c>
      <c r="I126" s="16">
        <f>IF($L126="","",IF(INDEX('Schedule'!$M$4:$M$1003,$L126)="","",INDEX('Schedule'!$M$4:$M$1003,$L126)))</f>
        <v/>
      </c>
      <c r="J126" s="15" t="n"/>
      <c r="K126" s="15" t="n"/>
      <c r="L126">
        <f>IFERROR(MATCH(SMALL('Schedule'!$O$4:$O$1003,123),'Schedule'!$O$4:$O$1003,0),"")</f>
        <v/>
      </c>
    </row>
    <row r="127">
      <c r="A127" s="16">
        <f>IF($L127="","",124)</f>
        <v/>
      </c>
      <c r="B127" s="16">
        <f>IF($L127="","",IF(INDEX('Schedule'!$A$4:$A$1003,$L127)="","",INDEX('Schedule'!$A$4:$A$1003,$L127)))</f>
        <v/>
      </c>
      <c r="C127" s="16">
        <f>IF($B127="","",IFERROR(INDEX('Cars'!$F$4:$F$103,MATCH($B127,'Cars'!$A$4:$A$103,0))&amp;"",""))</f>
        <v/>
      </c>
      <c r="D127" s="16">
        <f>IF($L127="","",IF(INDEX('Schedule'!$C$4:$C$1003,$L127)="","",INDEX('Schedule'!$C$4:$C$1003,$L127)))</f>
        <v/>
      </c>
      <c r="E127" s="19">
        <f>IF($L127="","",IF(INDEX('Schedule'!$F$4:$F$1003,$L127)="","",INDEX('Schedule'!$F$4:$F$1003,$L127)))</f>
        <v/>
      </c>
      <c r="F127" s="20">
        <f>IF($L127="","",IF(INDEX('Schedule'!$G$4:$G$1003,$L127)="","",INDEX('Schedule'!$G$4:$G$1003,$L127)))</f>
        <v/>
      </c>
      <c r="G127" s="19">
        <f>IF($L127="","",IF(INDEX('Schedule'!$I$4:$I$1003,$L127)="","",INDEX('Schedule'!$I$4:$I$1003,$L127)))</f>
        <v/>
      </c>
      <c r="H127" s="21">
        <f>IF($L127="","",IF(INDEX('Schedule'!$J$4:$J$1003,$L127)="","",INDEX('Schedule'!$J$4:$J$1003,$L127)))</f>
        <v/>
      </c>
      <c r="I127" s="16">
        <f>IF($L127="","",IF(INDEX('Schedule'!$M$4:$M$1003,$L127)="","",INDEX('Schedule'!$M$4:$M$1003,$L127)))</f>
        <v/>
      </c>
      <c r="J127" s="15" t="n"/>
      <c r="K127" s="15" t="n"/>
      <c r="L127">
        <f>IFERROR(MATCH(SMALL('Schedule'!$O$4:$O$1003,124),'Schedule'!$O$4:$O$1003,0),"")</f>
        <v/>
      </c>
    </row>
    <row r="128">
      <c r="A128" s="16">
        <f>IF($L128="","",125)</f>
        <v/>
      </c>
      <c r="B128" s="16">
        <f>IF($L128="","",IF(INDEX('Schedule'!$A$4:$A$1003,$L128)="","",INDEX('Schedule'!$A$4:$A$1003,$L128)))</f>
        <v/>
      </c>
      <c r="C128" s="16">
        <f>IF($B128="","",IFERROR(INDEX('Cars'!$F$4:$F$103,MATCH($B128,'Cars'!$A$4:$A$103,0))&amp;"",""))</f>
        <v/>
      </c>
      <c r="D128" s="16">
        <f>IF($L128="","",IF(INDEX('Schedule'!$C$4:$C$1003,$L128)="","",INDEX('Schedule'!$C$4:$C$1003,$L128)))</f>
        <v/>
      </c>
      <c r="E128" s="19">
        <f>IF($L128="","",IF(INDEX('Schedule'!$F$4:$F$1003,$L128)="","",INDEX('Schedule'!$F$4:$F$1003,$L128)))</f>
        <v/>
      </c>
      <c r="F128" s="20">
        <f>IF($L128="","",IF(INDEX('Schedule'!$G$4:$G$1003,$L128)="","",INDEX('Schedule'!$G$4:$G$1003,$L128)))</f>
        <v/>
      </c>
      <c r="G128" s="19">
        <f>IF($L128="","",IF(INDEX('Schedule'!$I$4:$I$1003,$L128)="","",INDEX('Schedule'!$I$4:$I$1003,$L128)))</f>
        <v/>
      </c>
      <c r="H128" s="21">
        <f>IF($L128="","",IF(INDEX('Schedule'!$J$4:$J$1003,$L128)="","",INDEX('Schedule'!$J$4:$J$1003,$L128)))</f>
        <v/>
      </c>
      <c r="I128" s="16">
        <f>IF($L128="","",IF(INDEX('Schedule'!$M$4:$M$1003,$L128)="","",INDEX('Schedule'!$M$4:$M$1003,$L128)))</f>
        <v/>
      </c>
      <c r="J128" s="15" t="n"/>
      <c r="K128" s="15" t="n"/>
      <c r="L128">
        <f>IFERROR(MATCH(SMALL('Schedule'!$O$4:$O$1003,125),'Schedule'!$O$4:$O$1003,0),"")</f>
        <v/>
      </c>
    </row>
    <row r="129">
      <c r="A129" s="16">
        <f>IF($L129="","",126)</f>
        <v/>
      </c>
      <c r="B129" s="16">
        <f>IF($L129="","",IF(INDEX('Schedule'!$A$4:$A$1003,$L129)="","",INDEX('Schedule'!$A$4:$A$1003,$L129)))</f>
        <v/>
      </c>
      <c r="C129" s="16">
        <f>IF($B129="","",IFERROR(INDEX('Cars'!$F$4:$F$103,MATCH($B129,'Cars'!$A$4:$A$103,0))&amp;"",""))</f>
        <v/>
      </c>
      <c r="D129" s="16">
        <f>IF($L129="","",IF(INDEX('Schedule'!$C$4:$C$1003,$L129)="","",INDEX('Schedule'!$C$4:$C$1003,$L129)))</f>
        <v/>
      </c>
      <c r="E129" s="19">
        <f>IF($L129="","",IF(INDEX('Schedule'!$F$4:$F$1003,$L129)="","",INDEX('Schedule'!$F$4:$F$1003,$L129)))</f>
        <v/>
      </c>
      <c r="F129" s="20">
        <f>IF($L129="","",IF(INDEX('Schedule'!$G$4:$G$1003,$L129)="","",INDEX('Schedule'!$G$4:$G$1003,$L129)))</f>
        <v/>
      </c>
      <c r="G129" s="19">
        <f>IF($L129="","",IF(INDEX('Schedule'!$I$4:$I$1003,$L129)="","",INDEX('Schedule'!$I$4:$I$1003,$L129)))</f>
        <v/>
      </c>
      <c r="H129" s="21">
        <f>IF($L129="","",IF(INDEX('Schedule'!$J$4:$J$1003,$L129)="","",INDEX('Schedule'!$J$4:$J$1003,$L129)))</f>
        <v/>
      </c>
      <c r="I129" s="16">
        <f>IF($L129="","",IF(INDEX('Schedule'!$M$4:$M$1003,$L129)="","",INDEX('Schedule'!$M$4:$M$1003,$L129)))</f>
        <v/>
      </c>
      <c r="J129" s="15" t="n"/>
      <c r="K129" s="15" t="n"/>
      <c r="L129">
        <f>IFERROR(MATCH(SMALL('Schedule'!$O$4:$O$1003,126),'Schedule'!$O$4:$O$1003,0),"")</f>
        <v/>
      </c>
    </row>
    <row r="130">
      <c r="A130" s="16">
        <f>IF($L130="","",127)</f>
        <v/>
      </c>
      <c r="B130" s="16">
        <f>IF($L130="","",IF(INDEX('Schedule'!$A$4:$A$1003,$L130)="","",INDEX('Schedule'!$A$4:$A$1003,$L130)))</f>
        <v/>
      </c>
      <c r="C130" s="16">
        <f>IF($B130="","",IFERROR(INDEX('Cars'!$F$4:$F$103,MATCH($B130,'Cars'!$A$4:$A$103,0))&amp;"",""))</f>
        <v/>
      </c>
      <c r="D130" s="16">
        <f>IF($L130="","",IF(INDEX('Schedule'!$C$4:$C$1003,$L130)="","",INDEX('Schedule'!$C$4:$C$1003,$L130)))</f>
        <v/>
      </c>
      <c r="E130" s="19">
        <f>IF($L130="","",IF(INDEX('Schedule'!$F$4:$F$1003,$L130)="","",INDEX('Schedule'!$F$4:$F$1003,$L130)))</f>
        <v/>
      </c>
      <c r="F130" s="20">
        <f>IF($L130="","",IF(INDEX('Schedule'!$G$4:$G$1003,$L130)="","",INDEX('Schedule'!$G$4:$G$1003,$L130)))</f>
        <v/>
      </c>
      <c r="G130" s="19">
        <f>IF($L130="","",IF(INDEX('Schedule'!$I$4:$I$1003,$L130)="","",INDEX('Schedule'!$I$4:$I$1003,$L130)))</f>
        <v/>
      </c>
      <c r="H130" s="21">
        <f>IF($L130="","",IF(INDEX('Schedule'!$J$4:$J$1003,$L130)="","",INDEX('Schedule'!$J$4:$J$1003,$L130)))</f>
        <v/>
      </c>
      <c r="I130" s="16">
        <f>IF($L130="","",IF(INDEX('Schedule'!$M$4:$M$1003,$L130)="","",INDEX('Schedule'!$M$4:$M$1003,$L130)))</f>
        <v/>
      </c>
      <c r="J130" s="15" t="n"/>
      <c r="K130" s="15" t="n"/>
      <c r="L130">
        <f>IFERROR(MATCH(SMALL('Schedule'!$O$4:$O$1003,127),'Schedule'!$O$4:$O$1003,0),"")</f>
        <v/>
      </c>
    </row>
    <row r="131">
      <c r="A131" s="16">
        <f>IF($L131="","",128)</f>
        <v/>
      </c>
      <c r="B131" s="16">
        <f>IF($L131="","",IF(INDEX('Schedule'!$A$4:$A$1003,$L131)="","",INDEX('Schedule'!$A$4:$A$1003,$L131)))</f>
        <v/>
      </c>
      <c r="C131" s="16">
        <f>IF($B131="","",IFERROR(INDEX('Cars'!$F$4:$F$103,MATCH($B131,'Cars'!$A$4:$A$103,0))&amp;"",""))</f>
        <v/>
      </c>
      <c r="D131" s="16">
        <f>IF($L131="","",IF(INDEX('Schedule'!$C$4:$C$1003,$L131)="","",INDEX('Schedule'!$C$4:$C$1003,$L131)))</f>
        <v/>
      </c>
      <c r="E131" s="19">
        <f>IF($L131="","",IF(INDEX('Schedule'!$F$4:$F$1003,$L131)="","",INDEX('Schedule'!$F$4:$F$1003,$L131)))</f>
        <v/>
      </c>
      <c r="F131" s="20">
        <f>IF($L131="","",IF(INDEX('Schedule'!$G$4:$G$1003,$L131)="","",INDEX('Schedule'!$G$4:$G$1003,$L131)))</f>
        <v/>
      </c>
      <c r="G131" s="19">
        <f>IF($L131="","",IF(INDEX('Schedule'!$I$4:$I$1003,$L131)="","",INDEX('Schedule'!$I$4:$I$1003,$L131)))</f>
        <v/>
      </c>
      <c r="H131" s="21">
        <f>IF($L131="","",IF(INDEX('Schedule'!$J$4:$J$1003,$L131)="","",INDEX('Schedule'!$J$4:$J$1003,$L131)))</f>
        <v/>
      </c>
      <c r="I131" s="16">
        <f>IF($L131="","",IF(INDEX('Schedule'!$M$4:$M$1003,$L131)="","",INDEX('Schedule'!$M$4:$M$1003,$L131)))</f>
        <v/>
      </c>
      <c r="J131" s="15" t="n"/>
      <c r="K131" s="15" t="n"/>
      <c r="L131">
        <f>IFERROR(MATCH(SMALL('Schedule'!$O$4:$O$1003,128),'Schedule'!$O$4:$O$1003,0),"")</f>
        <v/>
      </c>
    </row>
    <row r="132">
      <c r="A132" s="16">
        <f>IF($L132="","",129)</f>
        <v/>
      </c>
      <c r="B132" s="16">
        <f>IF($L132="","",IF(INDEX('Schedule'!$A$4:$A$1003,$L132)="","",INDEX('Schedule'!$A$4:$A$1003,$L132)))</f>
        <v/>
      </c>
      <c r="C132" s="16">
        <f>IF($B132="","",IFERROR(INDEX('Cars'!$F$4:$F$103,MATCH($B132,'Cars'!$A$4:$A$103,0))&amp;"",""))</f>
        <v/>
      </c>
      <c r="D132" s="16">
        <f>IF($L132="","",IF(INDEX('Schedule'!$C$4:$C$1003,$L132)="","",INDEX('Schedule'!$C$4:$C$1003,$L132)))</f>
        <v/>
      </c>
      <c r="E132" s="19">
        <f>IF($L132="","",IF(INDEX('Schedule'!$F$4:$F$1003,$L132)="","",INDEX('Schedule'!$F$4:$F$1003,$L132)))</f>
        <v/>
      </c>
      <c r="F132" s="20">
        <f>IF($L132="","",IF(INDEX('Schedule'!$G$4:$G$1003,$L132)="","",INDEX('Schedule'!$G$4:$G$1003,$L132)))</f>
        <v/>
      </c>
      <c r="G132" s="19">
        <f>IF($L132="","",IF(INDEX('Schedule'!$I$4:$I$1003,$L132)="","",INDEX('Schedule'!$I$4:$I$1003,$L132)))</f>
        <v/>
      </c>
      <c r="H132" s="21">
        <f>IF($L132="","",IF(INDEX('Schedule'!$J$4:$J$1003,$L132)="","",INDEX('Schedule'!$J$4:$J$1003,$L132)))</f>
        <v/>
      </c>
      <c r="I132" s="16">
        <f>IF($L132="","",IF(INDEX('Schedule'!$M$4:$M$1003,$L132)="","",INDEX('Schedule'!$M$4:$M$1003,$L132)))</f>
        <v/>
      </c>
      <c r="J132" s="15" t="n"/>
      <c r="K132" s="15" t="n"/>
      <c r="L132">
        <f>IFERROR(MATCH(SMALL('Schedule'!$O$4:$O$1003,129),'Schedule'!$O$4:$O$1003,0),"")</f>
        <v/>
      </c>
    </row>
    <row r="133">
      <c r="A133" s="16">
        <f>IF($L133="","",130)</f>
        <v/>
      </c>
      <c r="B133" s="16">
        <f>IF($L133="","",IF(INDEX('Schedule'!$A$4:$A$1003,$L133)="","",INDEX('Schedule'!$A$4:$A$1003,$L133)))</f>
        <v/>
      </c>
      <c r="C133" s="16">
        <f>IF($B133="","",IFERROR(INDEX('Cars'!$F$4:$F$103,MATCH($B133,'Cars'!$A$4:$A$103,0))&amp;"",""))</f>
        <v/>
      </c>
      <c r="D133" s="16">
        <f>IF($L133="","",IF(INDEX('Schedule'!$C$4:$C$1003,$L133)="","",INDEX('Schedule'!$C$4:$C$1003,$L133)))</f>
        <v/>
      </c>
      <c r="E133" s="19">
        <f>IF($L133="","",IF(INDEX('Schedule'!$F$4:$F$1003,$L133)="","",INDEX('Schedule'!$F$4:$F$1003,$L133)))</f>
        <v/>
      </c>
      <c r="F133" s="20">
        <f>IF($L133="","",IF(INDEX('Schedule'!$G$4:$G$1003,$L133)="","",INDEX('Schedule'!$G$4:$G$1003,$L133)))</f>
        <v/>
      </c>
      <c r="G133" s="19">
        <f>IF($L133="","",IF(INDEX('Schedule'!$I$4:$I$1003,$L133)="","",INDEX('Schedule'!$I$4:$I$1003,$L133)))</f>
        <v/>
      </c>
      <c r="H133" s="21">
        <f>IF($L133="","",IF(INDEX('Schedule'!$J$4:$J$1003,$L133)="","",INDEX('Schedule'!$J$4:$J$1003,$L133)))</f>
        <v/>
      </c>
      <c r="I133" s="16">
        <f>IF($L133="","",IF(INDEX('Schedule'!$M$4:$M$1003,$L133)="","",INDEX('Schedule'!$M$4:$M$1003,$L133)))</f>
        <v/>
      </c>
      <c r="J133" s="15" t="n"/>
      <c r="K133" s="15" t="n"/>
      <c r="L133">
        <f>IFERROR(MATCH(SMALL('Schedule'!$O$4:$O$1003,130),'Schedule'!$O$4:$O$1003,0),"")</f>
        <v/>
      </c>
    </row>
    <row r="134">
      <c r="A134" s="16">
        <f>IF($L134="","",131)</f>
        <v/>
      </c>
      <c r="B134" s="16">
        <f>IF($L134="","",IF(INDEX('Schedule'!$A$4:$A$1003,$L134)="","",INDEX('Schedule'!$A$4:$A$1003,$L134)))</f>
        <v/>
      </c>
      <c r="C134" s="16">
        <f>IF($B134="","",IFERROR(INDEX('Cars'!$F$4:$F$103,MATCH($B134,'Cars'!$A$4:$A$103,0))&amp;"",""))</f>
        <v/>
      </c>
      <c r="D134" s="16">
        <f>IF($L134="","",IF(INDEX('Schedule'!$C$4:$C$1003,$L134)="","",INDEX('Schedule'!$C$4:$C$1003,$L134)))</f>
        <v/>
      </c>
      <c r="E134" s="19">
        <f>IF($L134="","",IF(INDEX('Schedule'!$F$4:$F$1003,$L134)="","",INDEX('Schedule'!$F$4:$F$1003,$L134)))</f>
        <v/>
      </c>
      <c r="F134" s="20">
        <f>IF($L134="","",IF(INDEX('Schedule'!$G$4:$G$1003,$L134)="","",INDEX('Schedule'!$G$4:$G$1003,$L134)))</f>
        <v/>
      </c>
      <c r="G134" s="19">
        <f>IF($L134="","",IF(INDEX('Schedule'!$I$4:$I$1003,$L134)="","",INDEX('Schedule'!$I$4:$I$1003,$L134)))</f>
        <v/>
      </c>
      <c r="H134" s="21">
        <f>IF($L134="","",IF(INDEX('Schedule'!$J$4:$J$1003,$L134)="","",INDEX('Schedule'!$J$4:$J$1003,$L134)))</f>
        <v/>
      </c>
      <c r="I134" s="16">
        <f>IF($L134="","",IF(INDEX('Schedule'!$M$4:$M$1003,$L134)="","",INDEX('Schedule'!$M$4:$M$1003,$L134)))</f>
        <v/>
      </c>
      <c r="J134" s="15" t="n"/>
      <c r="K134" s="15" t="n"/>
      <c r="L134">
        <f>IFERROR(MATCH(SMALL('Schedule'!$O$4:$O$1003,131),'Schedule'!$O$4:$O$1003,0),"")</f>
        <v/>
      </c>
    </row>
    <row r="135">
      <c r="A135" s="16">
        <f>IF($L135="","",132)</f>
        <v/>
      </c>
      <c r="B135" s="16">
        <f>IF($L135="","",IF(INDEX('Schedule'!$A$4:$A$1003,$L135)="","",INDEX('Schedule'!$A$4:$A$1003,$L135)))</f>
        <v/>
      </c>
      <c r="C135" s="16">
        <f>IF($B135="","",IFERROR(INDEX('Cars'!$F$4:$F$103,MATCH($B135,'Cars'!$A$4:$A$103,0))&amp;"",""))</f>
        <v/>
      </c>
      <c r="D135" s="16">
        <f>IF($L135="","",IF(INDEX('Schedule'!$C$4:$C$1003,$L135)="","",INDEX('Schedule'!$C$4:$C$1003,$L135)))</f>
        <v/>
      </c>
      <c r="E135" s="19">
        <f>IF($L135="","",IF(INDEX('Schedule'!$F$4:$F$1003,$L135)="","",INDEX('Schedule'!$F$4:$F$1003,$L135)))</f>
        <v/>
      </c>
      <c r="F135" s="20">
        <f>IF($L135="","",IF(INDEX('Schedule'!$G$4:$G$1003,$L135)="","",INDEX('Schedule'!$G$4:$G$1003,$L135)))</f>
        <v/>
      </c>
      <c r="G135" s="19">
        <f>IF($L135="","",IF(INDEX('Schedule'!$I$4:$I$1003,$L135)="","",INDEX('Schedule'!$I$4:$I$1003,$L135)))</f>
        <v/>
      </c>
      <c r="H135" s="21">
        <f>IF($L135="","",IF(INDEX('Schedule'!$J$4:$J$1003,$L135)="","",INDEX('Schedule'!$J$4:$J$1003,$L135)))</f>
        <v/>
      </c>
      <c r="I135" s="16">
        <f>IF($L135="","",IF(INDEX('Schedule'!$M$4:$M$1003,$L135)="","",INDEX('Schedule'!$M$4:$M$1003,$L135)))</f>
        <v/>
      </c>
      <c r="J135" s="15" t="n"/>
      <c r="K135" s="15" t="n"/>
      <c r="L135">
        <f>IFERROR(MATCH(SMALL('Schedule'!$O$4:$O$1003,132),'Schedule'!$O$4:$O$1003,0),"")</f>
        <v/>
      </c>
    </row>
    <row r="136">
      <c r="A136" s="16">
        <f>IF($L136="","",133)</f>
        <v/>
      </c>
      <c r="B136" s="16">
        <f>IF($L136="","",IF(INDEX('Schedule'!$A$4:$A$1003,$L136)="","",INDEX('Schedule'!$A$4:$A$1003,$L136)))</f>
        <v/>
      </c>
      <c r="C136" s="16">
        <f>IF($B136="","",IFERROR(INDEX('Cars'!$F$4:$F$103,MATCH($B136,'Cars'!$A$4:$A$103,0))&amp;"",""))</f>
        <v/>
      </c>
      <c r="D136" s="16">
        <f>IF($L136="","",IF(INDEX('Schedule'!$C$4:$C$1003,$L136)="","",INDEX('Schedule'!$C$4:$C$1003,$L136)))</f>
        <v/>
      </c>
      <c r="E136" s="19">
        <f>IF($L136="","",IF(INDEX('Schedule'!$F$4:$F$1003,$L136)="","",INDEX('Schedule'!$F$4:$F$1003,$L136)))</f>
        <v/>
      </c>
      <c r="F136" s="20">
        <f>IF($L136="","",IF(INDEX('Schedule'!$G$4:$G$1003,$L136)="","",INDEX('Schedule'!$G$4:$G$1003,$L136)))</f>
        <v/>
      </c>
      <c r="G136" s="19">
        <f>IF($L136="","",IF(INDEX('Schedule'!$I$4:$I$1003,$L136)="","",INDEX('Schedule'!$I$4:$I$1003,$L136)))</f>
        <v/>
      </c>
      <c r="H136" s="21">
        <f>IF($L136="","",IF(INDEX('Schedule'!$J$4:$J$1003,$L136)="","",INDEX('Schedule'!$J$4:$J$1003,$L136)))</f>
        <v/>
      </c>
      <c r="I136" s="16">
        <f>IF($L136="","",IF(INDEX('Schedule'!$M$4:$M$1003,$L136)="","",INDEX('Schedule'!$M$4:$M$1003,$L136)))</f>
        <v/>
      </c>
      <c r="J136" s="15" t="n"/>
      <c r="K136" s="15" t="n"/>
      <c r="L136">
        <f>IFERROR(MATCH(SMALL('Schedule'!$O$4:$O$1003,133),'Schedule'!$O$4:$O$1003,0),"")</f>
        <v/>
      </c>
    </row>
    <row r="137">
      <c r="A137" s="16">
        <f>IF($L137="","",134)</f>
        <v/>
      </c>
      <c r="B137" s="16">
        <f>IF($L137="","",IF(INDEX('Schedule'!$A$4:$A$1003,$L137)="","",INDEX('Schedule'!$A$4:$A$1003,$L137)))</f>
        <v/>
      </c>
      <c r="C137" s="16">
        <f>IF($B137="","",IFERROR(INDEX('Cars'!$F$4:$F$103,MATCH($B137,'Cars'!$A$4:$A$103,0))&amp;"",""))</f>
        <v/>
      </c>
      <c r="D137" s="16">
        <f>IF($L137="","",IF(INDEX('Schedule'!$C$4:$C$1003,$L137)="","",INDEX('Schedule'!$C$4:$C$1003,$L137)))</f>
        <v/>
      </c>
      <c r="E137" s="19">
        <f>IF($L137="","",IF(INDEX('Schedule'!$F$4:$F$1003,$L137)="","",INDEX('Schedule'!$F$4:$F$1003,$L137)))</f>
        <v/>
      </c>
      <c r="F137" s="20">
        <f>IF($L137="","",IF(INDEX('Schedule'!$G$4:$G$1003,$L137)="","",INDEX('Schedule'!$G$4:$G$1003,$L137)))</f>
        <v/>
      </c>
      <c r="G137" s="19">
        <f>IF($L137="","",IF(INDEX('Schedule'!$I$4:$I$1003,$L137)="","",INDEX('Schedule'!$I$4:$I$1003,$L137)))</f>
        <v/>
      </c>
      <c r="H137" s="21">
        <f>IF($L137="","",IF(INDEX('Schedule'!$J$4:$J$1003,$L137)="","",INDEX('Schedule'!$J$4:$J$1003,$L137)))</f>
        <v/>
      </c>
      <c r="I137" s="16">
        <f>IF($L137="","",IF(INDEX('Schedule'!$M$4:$M$1003,$L137)="","",INDEX('Schedule'!$M$4:$M$1003,$L137)))</f>
        <v/>
      </c>
      <c r="J137" s="15" t="n"/>
      <c r="K137" s="15" t="n"/>
      <c r="L137">
        <f>IFERROR(MATCH(SMALL('Schedule'!$O$4:$O$1003,134),'Schedule'!$O$4:$O$1003,0),"")</f>
        <v/>
      </c>
    </row>
    <row r="138">
      <c r="A138" s="16">
        <f>IF($L138="","",135)</f>
        <v/>
      </c>
      <c r="B138" s="16">
        <f>IF($L138="","",IF(INDEX('Schedule'!$A$4:$A$1003,$L138)="","",INDEX('Schedule'!$A$4:$A$1003,$L138)))</f>
        <v/>
      </c>
      <c r="C138" s="16">
        <f>IF($B138="","",IFERROR(INDEX('Cars'!$F$4:$F$103,MATCH($B138,'Cars'!$A$4:$A$103,0))&amp;"",""))</f>
        <v/>
      </c>
      <c r="D138" s="16">
        <f>IF($L138="","",IF(INDEX('Schedule'!$C$4:$C$1003,$L138)="","",INDEX('Schedule'!$C$4:$C$1003,$L138)))</f>
        <v/>
      </c>
      <c r="E138" s="19">
        <f>IF($L138="","",IF(INDEX('Schedule'!$F$4:$F$1003,$L138)="","",INDEX('Schedule'!$F$4:$F$1003,$L138)))</f>
        <v/>
      </c>
      <c r="F138" s="20">
        <f>IF($L138="","",IF(INDEX('Schedule'!$G$4:$G$1003,$L138)="","",INDEX('Schedule'!$G$4:$G$1003,$L138)))</f>
        <v/>
      </c>
      <c r="G138" s="19">
        <f>IF($L138="","",IF(INDEX('Schedule'!$I$4:$I$1003,$L138)="","",INDEX('Schedule'!$I$4:$I$1003,$L138)))</f>
        <v/>
      </c>
      <c r="H138" s="21">
        <f>IF($L138="","",IF(INDEX('Schedule'!$J$4:$J$1003,$L138)="","",INDEX('Schedule'!$J$4:$J$1003,$L138)))</f>
        <v/>
      </c>
      <c r="I138" s="16">
        <f>IF($L138="","",IF(INDEX('Schedule'!$M$4:$M$1003,$L138)="","",INDEX('Schedule'!$M$4:$M$1003,$L138)))</f>
        <v/>
      </c>
      <c r="J138" s="15" t="n"/>
      <c r="K138" s="15" t="n"/>
      <c r="L138">
        <f>IFERROR(MATCH(SMALL('Schedule'!$O$4:$O$1003,135),'Schedule'!$O$4:$O$1003,0),"")</f>
        <v/>
      </c>
    </row>
    <row r="139">
      <c r="A139" s="16">
        <f>IF($L139="","",136)</f>
        <v/>
      </c>
      <c r="B139" s="16">
        <f>IF($L139="","",IF(INDEX('Schedule'!$A$4:$A$1003,$L139)="","",INDEX('Schedule'!$A$4:$A$1003,$L139)))</f>
        <v/>
      </c>
      <c r="C139" s="16">
        <f>IF($B139="","",IFERROR(INDEX('Cars'!$F$4:$F$103,MATCH($B139,'Cars'!$A$4:$A$103,0))&amp;"",""))</f>
        <v/>
      </c>
      <c r="D139" s="16">
        <f>IF($L139="","",IF(INDEX('Schedule'!$C$4:$C$1003,$L139)="","",INDEX('Schedule'!$C$4:$C$1003,$L139)))</f>
        <v/>
      </c>
      <c r="E139" s="19">
        <f>IF($L139="","",IF(INDEX('Schedule'!$F$4:$F$1003,$L139)="","",INDEX('Schedule'!$F$4:$F$1003,$L139)))</f>
        <v/>
      </c>
      <c r="F139" s="20">
        <f>IF($L139="","",IF(INDEX('Schedule'!$G$4:$G$1003,$L139)="","",INDEX('Schedule'!$G$4:$G$1003,$L139)))</f>
        <v/>
      </c>
      <c r="G139" s="19">
        <f>IF($L139="","",IF(INDEX('Schedule'!$I$4:$I$1003,$L139)="","",INDEX('Schedule'!$I$4:$I$1003,$L139)))</f>
        <v/>
      </c>
      <c r="H139" s="21">
        <f>IF($L139="","",IF(INDEX('Schedule'!$J$4:$J$1003,$L139)="","",INDEX('Schedule'!$J$4:$J$1003,$L139)))</f>
        <v/>
      </c>
      <c r="I139" s="16">
        <f>IF($L139="","",IF(INDEX('Schedule'!$M$4:$M$1003,$L139)="","",INDEX('Schedule'!$M$4:$M$1003,$L139)))</f>
        <v/>
      </c>
      <c r="J139" s="15" t="n"/>
      <c r="K139" s="15" t="n"/>
      <c r="L139">
        <f>IFERROR(MATCH(SMALL('Schedule'!$O$4:$O$1003,136),'Schedule'!$O$4:$O$1003,0),"")</f>
        <v/>
      </c>
    </row>
    <row r="140">
      <c r="A140" s="16">
        <f>IF($L140="","",137)</f>
        <v/>
      </c>
      <c r="B140" s="16">
        <f>IF($L140="","",IF(INDEX('Schedule'!$A$4:$A$1003,$L140)="","",INDEX('Schedule'!$A$4:$A$1003,$L140)))</f>
        <v/>
      </c>
      <c r="C140" s="16">
        <f>IF($B140="","",IFERROR(INDEX('Cars'!$F$4:$F$103,MATCH($B140,'Cars'!$A$4:$A$103,0))&amp;"",""))</f>
        <v/>
      </c>
      <c r="D140" s="16">
        <f>IF($L140="","",IF(INDEX('Schedule'!$C$4:$C$1003,$L140)="","",INDEX('Schedule'!$C$4:$C$1003,$L140)))</f>
        <v/>
      </c>
      <c r="E140" s="19">
        <f>IF($L140="","",IF(INDEX('Schedule'!$F$4:$F$1003,$L140)="","",INDEX('Schedule'!$F$4:$F$1003,$L140)))</f>
        <v/>
      </c>
      <c r="F140" s="20">
        <f>IF($L140="","",IF(INDEX('Schedule'!$G$4:$G$1003,$L140)="","",INDEX('Schedule'!$G$4:$G$1003,$L140)))</f>
        <v/>
      </c>
      <c r="G140" s="19">
        <f>IF($L140="","",IF(INDEX('Schedule'!$I$4:$I$1003,$L140)="","",INDEX('Schedule'!$I$4:$I$1003,$L140)))</f>
        <v/>
      </c>
      <c r="H140" s="21">
        <f>IF($L140="","",IF(INDEX('Schedule'!$J$4:$J$1003,$L140)="","",INDEX('Schedule'!$J$4:$J$1003,$L140)))</f>
        <v/>
      </c>
      <c r="I140" s="16">
        <f>IF($L140="","",IF(INDEX('Schedule'!$M$4:$M$1003,$L140)="","",INDEX('Schedule'!$M$4:$M$1003,$L140)))</f>
        <v/>
      </c>
      <c r="J140" s="15" t="n"/>
      <c r="K140" s="15" t="n"/>
      <c r="L140">
        <f>IFERROR(MATCH(SMALL('Schedule'!$O$4:$O$1003,137),'Schedule'!$O$4:$O$1003,0),"")</f>
        <v/>
      </c>
    </row>
    <row r="141">
      <c r="A141" s="16">
        <f>IF($L141="","",138)</f>
        <v/>
      </c>
      <c r="B141" s="16">
        <f>IF($L141="","",IF(INDEX('Schedule'!$A$4:$A$1003,$L141)="","",INDEX('Schedule'!$A$4:$A$1003,$L141)))</f>
        <v/>
      </c>
      <c r="C141" s="16">
        <f>IF($B141="","",IFERROR(INDEX('Cars'!$F$4:$F$103,MATCH($B141,'Cars'!$A$4:$A$103,0))&amp;"",""))</f>
        <v/>
      </c>
      <c r="D141" s="16">
        <f>IF($L141="","",IF(INDEX('Schedule'!$C$4:$C$1003,$L141)="","",INDEX('Schedule'!$C$4:$C$1003,$L141)))</f>
        <v/>
      </c>
      <c r="E141" s="19">
        <f>IF($L141="","",IF(INDEX('Schedule'!$F$4:$F$1003,$L141)="","",INDEX('Schedule'!$F$4:$F$1003,$L141)))</f>
        <v/>
      </c>
      <c r="F141" s="20">
        <f>IF($L141="","",IF(INDEX('Schedule'!$G$4:$G$1003,$L141)="","",INDEX('Schedule'!$G$4:$G$1003,$L141)))</f>
        <v/>
      </c>
      <c r="G141" s="19">
        <f>IF($L141="","",IF(INDEX('Schedule'!$I$4:$I$1003,$L141)="","",INDEX('Schedule'!$I$4:$I$1003,$L141)))</f>
        <v/>
      </c>
      <c r="H141" s="21">
        <f>IF($L141="","",IF(INDEX('Schedule'!$J$4:$J$1003,$L141)="","",INDEX('Schedule'!$J$4:$J$1003,$L141)))</f>
        <v/>
      </c>
      <c r="I141" s="16">
        <f>IF($L141="","",IF(INDEX('Schedule'!$M$4:$M$1003,$L141)="","",INDEX('Schedule'!$M$4:$M$1003,$L141)))</f>
        <v/>
      </c>
      <c r="J141" s="15" t="n"/>
      <c r="K141" s="15" t="n"/>
      <c r="L141">
        <f>IFERROR(MATCH(SMALL('Schedule'!$O$4:$O$1003,138),'Schedule'!$O$4:$O$1003,0),"")</f>
        <v/>
      </c>
    </row>
    <row r="142">
      <c r="A142" s="16">
        <f>IF($L142="","",139)</f>
        <v/>
      </c>
      <c r="B142" s="16">
        <f>IF($L142="","",IF(INDEX('Schedule'!$A$4:$A$1003,$L142)="","",INDEX('Schedule'!$A$4:$A$1003,$L142)))</f>
        <v/>
      </c>
      <c r="C142" s="16">
        <f>IF($B142="","",IFERROR(INDEX('Cars'!$F$4:$F$103,MATCH($B142,'Cars'!$A$4:$A$103,0))&amp;"",""))</f>
        <v/>
      </c>
      <c r="D142" s="16">
        <f>IF($L142="","",IF(INDEX('Schedule'!$C$4:$C$1003,$L142)="","",INDEX('Schedule'!$C$4:$C$1003,$L142)))</f>
        <v/>
      </c>
      <c r="E142" s="19">
        <f>IF($L142="","",IF(INDEX('Schedule'!$F$4:$F$1003,$L142)="","",INDEX('Schedule'!$F$4:$F$1003,$L142)))</f>
        <v/>
      </c>
      <c r="F142" s="20">
        <f>IF($L142="","",IF(INDEX('Schedule'!$G$4:$G$1003,$L142)="","",INDEX('Schedule'!$G$4:$G$1003,$L142)))</f>
        <v/>
      </c>
      <c r="G142" s="19">
        <f>IF($L142="","",IF(INDEX('Schedule'!$I$4:$I$1003,$L142)="","",INDEX('Schedule'!$I$4:$I$1003,$L142)))</f>
        <v/>
      </c>
      <c r="H142" s="21">
        <f>IF($L142="","",IF(INDEX('Schedule'!$J$4:$J$1003,$L142)="","",INDEX('Schedule'!$J$4:$J$1003,$L142)))</f>
        <v/>
      </c>
      <c r="I142" s="16">
        <f>IF($L142="","",IF(INDEX('Schedule'!$M$4:$M$1003,$L142)="","",INDEX('Schedule'!$M$4:$M$1003,$L142)))</f>
        <v/>
      </c>
      <c r="J142" s="15" t="n"/>
      <c r="K142" s="15" t="n"/>
      <c r="L142">
        <f>IFERROR(MATCH(SMALL('Schedule'!$O$4:$O$1003,139),'Schedule'!$O$4:$O$1003,0),"")</f>
        <v/>
      </c>
    </row>
    <row r="143">
      <c r="A143" s="16">
        <f>IF($L143="","",140)</f>
        <v/>
      </c>
      <c r="B143" s="16">
        <f>IF($L143="","",IF(INDEX('Schedule'!$A$4:$A$1003,$L143)="","",INDEX('Schedule'!$A$4:$A$1003,$L143)))</f>
        <v/>
      </c>
      <c r="C143" s="16">
        <f>IF($B143="","",IFERROR(INDEX('Cars'!$F$4:$F$103,MATCH($B143,'Cars'!$A$4:$A$103,0))&amp;"",""))</f>
        <v/>
      </c>
      <c r="D143" s="16">
        <f>IF($L143="","",IF(INDEX('Schedule'!$C$4:$C$1003,$L143)="","",INDEX('Schedule'!$C$4:$C$1003,$L143)))</f>
        <v/>
      </c>
      <c r="E143" s="19">
        <f>IF($L143="","",IF(INDEX('Schedule'!$F$4:$F$1003,$L143)="","",INDEX('Schedule'!$F$4:$F$1003,$L143)))</f>
        <v/>
      </c>
      <c r="F143" s="20">
        <f>IF($L143="","",IF(INDEX('Schedule'!$G$4:$G$1003,$L143)="","",INDEX('Schedule'!$G$4:$G$1003,$L143)))</f>
        <v/>
      </c>
      <c r="G143" s="19">
        <f>IF($L143="","",IF(INDEX('Schedule'!$I$4:$I$1003,$L143)="","",INDEX('Schedule'!$I$4:$I$1003,$L143)))</f>
        <v/>
      </c>
      <c r="H143" s="21">
        <f>IF($L143="","",IF(INDEX('Schedule'!$J$4:$J$1003,$L143)="","",INDEX('Schedule'!$J$4:$J$1003,$L143)))</f>
        <v/>
      </c>
      <c r="I143" s="16">
        <f>IF($L143="","",IF(INDEX('Schedule'!$M$4:$M$1003,$L143)="","",INDEX('Schedule'!$M$4:$M$1003,$L143)))</f>
        <v/>
      </c>
      <c r="J143" s="15" t="n"/>
      <c r="K143" s="15" t="n"/>
      <c r="L143">
        <f>IFERROR(MATCH(SMALL('Schedule'!$O$4:$O$1003,140),'Schedule'!$O$4:$O$1003,0),"")</f>
        <v/>
      </c>
    </row>
    <row r="144">
      <c r="A144" s="16">
        <f>IF($L144="","",141)</f>
        <v/>
      </c>
      <c r="B144" s="16">
        <f>IF($L144="","",IF(INDEX('Schedule'!$A$4:$A$1003,$L144)="","",INDEX('Schedule'!$A$4:$A$1003,$L144)))</f>
        <v/>
      </c>
      <c r="C144" s="16">
        <f>IF($B144="","",IFERROR(INDEX('Cars'!$F$4:$F$103,MATCH($B144,'Cars'!$A$4:$A$103,0))&amp;"",""))</f>
        <v/>
      </c>
      <c r="D144" s="16">
        <f>IF($L144="","",IF(INDEX('Schedule'!$C$4:$C$1003,$L144)="","",INDEX('Schedule'!$C$4:$C$1003,$L144)))</f>
        <v/>
      </c>
      <c r="E144" s="19">
        <f>IF($L144="","",IF(INDEX('Schedule'!$F$4:$F$1003,$L144)="","",INDEX('Schedule'!$F$4:$F$1003,$L144)))</f>
        <v/>
      </c>
      <c r="F144" s="20">
        <f>IF($L144="","",IF(INDEX('Schedule'!$G$4:$G$1003,$L144)="","",INDEX('Schedule'!$G$4:$G$1003,$L144)))</f>
        <v/>
      </c>
      <c r="G144" s="19">
        <f>IF($L144="","",IF(INDEX('Schedule'!$I$4:$I$1003,$L144)="","",INDEX('Schedule'!$I$4:$I$1003,$L144)))</f>
        <v/>
      </c>
      <c r="H144" s="21">
        <f>IF($L144="","",IF(INDEX('Schedule'!$J$4:$J$1003,$L144)="","",INDEX('Schedule'!$J$4:$J$1003,$L144)))</f>
        <v/>
      </c>
      <c r="I144" s="16">
        <f>IF($L144="","",IF(INDEX('Schedule'!$M$4:$M$1003,$L144)="","",INDEX('Schedule'!$M$4:$M$1003,$L144)))</f>
        <v/>
      </c>
      <c r="J144" s="15" t="n"/>
      <c r="K144" s="15" t="n"/>
      <c r="L144">
        <f>IFERROR(MATCH(SMALL('Schedule'!$O$4:$O$1003,141),'Schedule'!$O$4:$O$1003,0),"")</f>
        <v/>
      </c>
    </row>
    <row r="145">
      <c r="A145" s="16">
        <f>IF($L145="","",142)</f>
        <v/>
      </c>
      <c r="B145" s="16">
        <f>IF($L145="","",IF(INDEX('Schedule'!$A$4:$A$1003,$L145)="","",INDEX('Schedule'!$A$4:$A$1003,$L145)))</f>
        <v/>
      </c>
      <c r="C145" s="16">
        <f>IF($B145="","",IFERROR(INDEX('Cars'!$F$4:$F$103,MATCH($B145,'Cars'!$A$4:$A$103,0))&amp;"",""))</f>
        <v/>
      </c>
      <c r="D145" s="16">
        <f>IF($L145="","",IF(INDEX('Schedule'!$C$4:$C$1003,$L145)="","",INDEX('Schedule'!$C$4:$C$1003,$L145)))</f>
        <v/>
      </c>
      <c r="E145" s="19">
        <f>IF($L145="","",IF(INDEX('Schedule'!$F$4:$F$1003,$L145)="","",INDEX('Schedule'!$F$4:$F$1003,$L145)))</f>
        <v/>
      </c>
      <c r="F145" s="20">
        <f>IF($L145="","",IF(INDEX('Schedule'!$G$4:$G$1003,$L145)="","",INDEX('Schedule'!$G$4:$G$1003,$L145)))</f>
        <v/>
      </c>
      <c r="G145" s="19">
        <f>IF($L145="","",IF(INDEX('Schedule'!$I$4:$I$1003,$L145)="","",INDEX('Schedule'!$I$4:$I$1003,$L145)))</f>
        <v/>
      </c>
      <c r="H145" s="21">
        <f>IF($L145="","",IF(INDEX('Schedule'!$J$4:$J$1003,$L145)="","",INDEX('Schedule'!$J$4:$J$1003,$L145)))</f>
        <v/>
      </c>
      <c r="I145" s="16">
        <f>IF($L145="","",IF(INDEX('Schedule'!$M$4:$M$1003,$L145)="","",INDEX('Schedule'!$M$4:$M$1003,$L145)))</f>
        <v/>
      </c>
      <c r="J145" s="15" t="n"/>
      <c r="K145" s="15" t="n"/>
      <c r="L145">
        <f>IFERROR(MATCH(SMALL('Schedule'!$O$4:$O$1003,142),'Schedule'!$O$4:$O$1003,0),"")</f>
        <v/>
      </c>
    </row>
    <row r="146">
      <c r="A146" s="16">
        <f>IF($L146="","",143)</f>
        <v/>
      </c>
      <c r="B146" s="16">
        <f>IF($L146="","",IF(INDEX('Schedule'!$A$4:$A$1003,$L146)="","",INDEX('Schedule'!$A$4:$A$1003,$L146)))</f>
        <v/>
      </c>
      <c r="C146" s="16">
        <f>IF($B146="","",IFERROR(INDEX('Cars'!$F$4:$F$103,MATCH($B146,'Cars'!$A$4:$A$103,0))&amp;"",""))</f>
        <v/>
      </c>
      <c r="D146" s="16">
        <f>IF($L146="","",IF(INDEX('Schedule'!$C$4:$C$1003,$L146)="","",INDEX('Schedule'!$C$4:$C$1003,$L146)))</f>
        <v/>
      </c>
      <c r="E146" s="19">
        <f>IF($L146="","",IF(INDEX('Schedule'!$F$4:$F$1003,$L146)="","",INDEX('Schedule'!$F$4:$F$1003,$L146)))</f>
        <v/>
      </c>
      <c r="F146" s="20">
        <f>IF($L146="","",IF(INDEX('Schedule'!$G$4:$G$1003,$L146)="","",INDEX('Schedule'!$G$4:$G$1003,$L146)))</f>
        <v/>
      </c>
      <c r="G146" s="19">
        <f>IF($L146="","",IF(INDEX('Schedule'!$I$4:$I$1003,$L146)="","",INDEX('Schedule'!$I$4:$I$1003,$L146)))</f>
        <v/>
      </c>
      <c r="H146" s="21">
        <f>IF($L146="","",IF(INDEX('Schedule'!$J$4:$J$1003,$L146)="","",INDEX('Schedule'!$J$4:$J$1003,$L146)))</f>
        <v/>
      </c>
      <c r="I146" s="16">
        <f>IF($L146="","",IF(INDEX('Schedule'!$M$4:$M$1003,$L146)="","",INDEX('Schedule'!$M$4:$M$1003,$L146)))</f>
        <v/>
      </c>
      <c r="J146" s="15" t="n"/>
      <c r="K146" s="15" t="n"/>
      <c r="L146">
        <f>IFERROR(MATCH(SMALL('Schedule'!$O$4:$O$1003,143),'Schedule'!$O$4:$O$1003,0),"")</f>
        <v/>
      </c>
    </row>
    <row r="147">
      <c r="A147" s="16">
        <f>IF($L147="","",144)</f>
        <v/>
      </c>
      <c r="B147" s="16">
        <f>IF($L147="","",IF(INDEX('Schedule'!$A$4:$A$1003,$L147)="","",INDEX('Schedule'!$A$4:$A$1003,$L147)))</f>
        <v/>
      </c>
      <c r="C147" s="16">
        <f>IF($B147="","",IFERROR(INDEX('Cars'!$F$4:$F$103,MATCH($B147,'Cars'!$A$4:$A$103,0))&amp;"",""))</f>
        <v/>
      </c>
      <c r="D147" s="16">
        <f>IF($L147="","",IF(INDEX('Schedule'!$C$4:$C$1003,$L147)="","",INDEX('Schedule'!$C$4:$C$1003,$L147)))</f>
        <v/>
      </c>
      <c r="E147" s="19">
        <f>IF($L147="","",IF(INDEX('Schedule'!$F$4:$F$1003,$L147)="","",INDEX('Schedule'!$F$4:$F$1003,$L147)))</f>
        <v/>
      </c>
      <c r="F147" s="20">
        <f>IF($L147="","",IF(INDEX('Schedule'!$G$4:$G$1003,$L147)="","",INDEX('Schedule'!$G$4:$G$1003,$L147)))</f>
        <v/>
      </c>
      <c r="G147" s="19">
        <f>IF($L147="","",IF(INDEX('Schedule'!$I$4:$I$1003,$L147)="","",INDEX('Schedule'!$I$4:$I$1003,$L147)))</f>
        <v/>
      </c>
      <c r="H147" s="21">
        <f>IF($L147="","",IF(INDEX('Schedule'!$J$4:$J$1003,$L147)="","",INDEX('Schedule'!$J$4:$J$1003,$L147)))</f>
        <v/>
      </c>
      <c r="I147" s="16">
        <f>IF($L147="","",IF(INDEX('Schedule'!$M$4:$M$1003,$L147)="","",INDEX('Schedule'!$M$4:$M$1003,$L147)))</f>
        <v/>
      </c>
      <c r="J147" s="15" t="n"/>
      <c r="K147" s="15" t="n"/>
      <c r="L147">
        <f>IFERROR(MATCH(SMALL('Schedule'!$O$4:$O$1003,144),'Schedule'!$O$4:$O$1003,0),"")</f>
        <v/>
      </c>
    </row>
    <row r="148">
      <c r="A148" s="16">
        <f>IF($L148="","",145)</f>
        <v/>
      </c>
      <c r="B148" s="16">
        <f>IF($L148="","",IF(INDEX('Schedule'!$A$4:$A$1003,$L148)="","",INDEX('Schedule'!$A$4:$A$1003,$L148)))</f>
        <v/>
      </c>
      <c r="C148" s="16">
        <f>IF($B148="","",IFERROR(INDEX('Cars'!$F$4:$F$103,MATCH($B148,'Cars'!$A$4:$A$103,0))&amp;"",""))</f>
        <v/>
      </c>
      <c r="D148" s="16">
        <f>IF($L148="","",IF(INDEX('Schedule'!$C$4:$C$1003,$L148)="","",INDEX('Schedule'!$C$4:$C$1003,$L148)))</f>
        <v/>
      </c>
      <c r="E148" s="19">
        <f>IF($L148="","",IF(INDEX('Schedule'!$F$4:$F$1003,$L148)="","",INDEX('Schedule'!$F$4:$F$1003,$L148)))</f>
        <v/>
      </c>
      <c r="F148" s="20">
        <f>IF($L148="","",IF(INDEX('Schedule'!$G$4:$G$1003,$L148)="","",INDEX('Schedule'!$G$4:$G$1003,$L148)))</f>
        <v/>
      </c>
      <c r="G148" s="19">
        <f>IF($L148="","",IF(INDEX('Schedule'!$I$4:$I$1003,$L148)="","",INDEX('Schedule'!$I$4:$I$1003,$L148)))</f>
        <v/>
      </c>
      <c r="H148" s="21">
        <f>IF($L148="","",IF(INDEX('Schedule'!$J$4:$J$1003,$L148)="","",INDEX('Schedule'!$J$4:$J$1003,$L148)))</f>
        <v/>
      </c>
      <c r="I148" s="16">
        <f>IF($L148="","",IF(INDEX('Schedule'!$M$4:$M$1003,$L148)="","",INDEX('Schedule'!$M$4:$M$1003,$L148)))</f>
        <v/>
      </c>
      <c r="J148" s="15" t="n"/>
      <c r="K148" s="15" t="n"/>
      <c r="L148">
        <f>IFERROR(MATCH(SMALL('Schedule'!$O$4:$O$1003,145),'Schedule'!$O$4:$O$1003,0),"")</f>
        <v/>
      </c>
    </row>
    <row r="149">
      <c r="A149" s="16">
        <f>IF($L149="","",146)</f>
        <v/>
      </c>
      <c r="B149" s="16">
        <f>IF($L149="","",IF(INDEX('Schedule'!$A$4:$A$1003,$L149)="","",INDEX('Schedule'!$A$4:$A$1003,$L149)))</f>
        <v/>
      </c>
      <c r="C149" s="16">
        <f>IF($B149="","",IFERROR(INDEX('Cars'!$F$4:$F$103,MATCH($B149,'Cars'!$A$4:$A$103,0))&amp;"",""))</f>
        <v/>
      </c>
      <c r="D149" s="16">
        <f>IF($L149="","",IF(INDEX('Schedule'!$C$4:$C$1003,$L149)="","",INDEX('Schedule'!$C$4:$C$1003,$L149)))</f>
        <v/>
      </c>
      <c r="E149" s="19">
        <f>IF($L149="","",IF(INDEX('Schedule'!$F$4:$F$1003,$L149)="","",INDEX('Schedule'!$F$4:$F$1003,$L149)))</f>
        <v/>
      </c>
      <c r="F149" s="20">
        <f>IF($L149="","",IF(INDEX('Schedule'!$G$4:$G$1003,$L149)="","",INDEX('Schedule'!$G$4:$G$1003,$L149)))</f>
        <v/>
      </c>
      <c r="G149" s="19">
        <f>IF($L149="","",IF(INDEX('Schedule'!$I$4:$I$1003,$L149)="","",INDEX('Schedule'!$I$4:$I$1003,$L149)))</f>
        <v/>
      </c>
      <c r="H149" s="21">
        <f>IF($L149="","",IF(INDEX('Schedule'!$J$4:$J$1003,$L149)="","",INDEX('Schedule'!$J$4:$J$1003,$L149)))</f>
        <v/>
      </c>
      <c r="I149" s="16">
        <f>IF($L149="","",IF(INDEX('Schedule'!$M$4:$M$1003,$L149)="","",INDEX('Schedule'!$M$4:$M$1003,$L149)))</f>
        <v/>
      </c>
      <c r="J149" s="15" t="n"/>
      <c r="K149" s="15" t="n"/>
      <c r="L149">
        <f>IFERROR(MATCH(SMALL('Schedule'!$O$4:$O$1003,146),'Schedule'!$O$4:$O$1003,0),"")</f>
        <v/>
      </c>
    </row>
    <row r="150">
      <c r="A150" s="16">
        <f>IF($L150="","",147)</f>
        <v/>
      </c>
      <c r="B150" s="16">
        <f>IF($L150="","",IF(INDEX('Schedule'!$A$4:$A$1003,$L150)="","",INDEX('Schedule'!$A$4:$A$1003,$L150)))</f>
        <v/>
      </c>
      <c r="C150" s="16">
        <f>IF($B150="","",IFERROR(INDEX('Cars'!$F$4:$F$103,MATCH($B150,'Cars'!$A$4:$A$103,0))&amp;"",""))</f>
        <v/>
      </c>
      <c r="D150" s="16">
        <f>IF($L150="","",IF(INDEX('Schedule'!$C$4:$C$1003,$L150)="","",INDEX('Schedule'!$C$4:$C$1003,$L150)))</f>
        <v/>
      </c>
      <c r="E150" s="19">
        <f>IF($L150="","",IF(INDEX('Schedule'!$F$4:$F$1003,$L150)="","",INDEX('Schedule'!$F$4:$F$1003,$L150)))</f>
        <v/>
      </c>
      <c r="F150" s="20">
        <f>IF($L150="","",IF(INDEX('Schedule'!$G$4:$G$1003,$L150)="","",INDEX('Schedule'!$G$4:$G$1003,$L150)))</f>
        <v/>
      </c>
      <c r="G150" s="19">
        <f>IF($L150="","",IF(INDEX('Schedule'!$I$4:$I$1003,$L150)="","",INDEX('Schedule'!$I$4:$I$1003,$L150)))</f>
        <v/>
      </c>
      <c r="H150" s="21">
        <f>IF($L150="","",IF(INDEX('Schedule'!$J$4:$J$1003,$L150)="","",INDEX('Schedule'!$J$4:$J$1003,$L150)))</f>
        <v/>
      </c>
      <c r="I150" s="16">
        <f>IF($L150="","",IF(INDEX('Schedule'!$M$4:$M$1003,$L150)="","",INDEX('Schedule'!$M$4:$M$1003,$L150)))</f>
        <v/>
      </c>
      <c r="J150" s="15" t="n"/>
      <c r="K150" s="15" t="n"/>
      <c r="L150">
        <f>IFERROR(MATCH(SMALL('Schedule'!$O$4:$O$1003,147),'Schedule'!$O$4:$O$1003,0),"")</f>
        <v/>
      </c>
    </row>
    <row r="151">
      <c r="A151" s="16">
        <f>IF($L151="","",148)</f>
        <v/>
      </c>
      <c r="B151" s="16">
        <f>IF($L151="","",IF(INDEX('Schedule'!$A$4:$A$1003,$L151)="","",INDEX('Schedule'!$A$4:$A$1003,$L151)))</f>
        <v/>
      </c>
      <c r="C151" s="16">
        <f>IF($B151="","",IFERROR(INDEX('Cars'!$F$4:$F$103,MATCH($B151,'Cars'!$A$4:$A$103,0))&amp;"",""))</f>
        <v/>
      </c>
      <c r="D151" s="16">
        <f>IF($L151="","",IF(INDEX('Schedule'!$C$4:$C$1003,$L151)="","",INDEX('Schedule'!$C$4:$C$1003,$L151)))</f>
        <v/>
      </c>
      <c r="E151" s="19">
        <f>IF($L151="","",IF(INDEX('Schedule'!$F$4:$F$1003,$L151)="","",INDEX('Schedule'!$F$4:$F$1003,$L151)))</f>
        <v/>
      </c>
      <c r="F151" s="20">
        <f>IF($L151="","",IF(INDEX('Schedule'!$G$4:$G$1003,$L151)="","",INDEX('Schedule'!$G$4:$G$1003,$L151)))</f>
        <v/>
      </c>
      <c r="G151" s="19">
        <f>IF($L151="","",IF(INDEX('Schedule'!$I$4:$I$1003,$L151)="","",INDEX('Schedule'!$I$4:$I$1003,$L151)))</f>
        <v/>
      </c>
      <c r="H151" s="21">
        <f>IF($L151="","",IF(INDEX('Schedule'!$J$4:$J$1003,$L151)="","",INDEX('Schedule'!$J$4:$J$1003,$L151)))</f>
        <v/>
      </c>
      <c r="I151" s="16">
        <f>IF($L151="","",IF(INDEX('Schedule'!$M$4:$M$1003,$L151)="","",INDEX('Schedule'!$M$4:$M$1003,$L151)))</f>
        <v/>
      </c>
      <c r="J151" s="15" t="n"/>
      <c r="K151" s="15" t="n"/>
      <c r="L151">
        <f>IFERROR(MATCH(SMALL('Schedule'!$O$4:$O$1003,148),'Schedule'!$O$4:$O$1003,0),"")</f>
        <v/>
      </c>
    </row>
    <row r="152">
      <c r="A152" s="16">
        <f>IF($L152="","",149)</f>
        <v/>
      </c>
      <c r="B152" s="16">
        <f>IF($L152="","",IF(INDEX('Schedule'!$A$4:$A$1003,$L152)="","",INDEX('Schedule'!$A$4:$A$1003,$L152)))</f>
        <v/>
      </c>
      <c r="C152" s="16">
        <f>IF($B152="","",IFERROR(INDEX('Cars'!$F$4:$F$103,MATCH($B152,'Cars'!$A$4:$A$103,0))&amp;"",""))</f>
        <v/>
      </c>
      <c r="D152" s="16">
        <f>IF($L152="","",IF(INDEX('Schedule'!$C$4:$C$1003,$L152)="","",INDEX('Schedule'!$C$4:$C$1003,$L152)))</f>
        <v/>
      </c>
      <c r="E152" s="19">
        <f>IF($L152="","",IF(INDEX('Schedule'!$F$4:$F$1003,$L152)="","",INDEX('Schedule'!$F$4:$F$1003,$L152)))</f>
        <v/>
      </c>
      <c r="F152" s="20">
        <f>IF($L152="","",IF(INDEX('Schedule'!$G$4:$G$1003,$L152)="","",INDEX('Schedule'!$G$4:$G$1003,$L152)))</f>
        <v/>
      </c>
      <c r="G152" s="19">
        <f>IF($L152="","",IF(INDEX('Schedule'!$I$4:$I$1003,$L152)="","",INDEX('Schedule'!$I$4:$I$1003,$L152)))</f>
        <v/>
      </c>
      <c r="H152" s="21">
        <f>IF($L152="","",IF(INDEX('Schedule'!$J$4:$J$1003,$L152)="","",INDEX('Schedule'!$J$4:$J$1003,$L152)))</f>
        <v/>
      </c>
      <c r="I152" s="16">
        <f>IF($L152="","",IF(INDEX('Schedule'!$M$4:$M$1003,$L152)="","",INDEX('Schedule'!$M$4:$M$1003,$L152)))</f>
        <v/>
      </c>
      <c r="J152" s="15" t="n"/>
      <c r="K152" s="15" t="n"/>
      <c r="L152">
        <f>IFERROR(MATCH(SMALL('Schedule'!$O$4:$O$1003,149),'Schedule'!$O$4:$O$1003,0),"")</f>
        <v/>
      </c>
    </row>
    <row r="153">
      <c r="A153" s="16">
        <f>IF($L153="","",150)</f>
        <v/>
      </c>
      <c r="B153" s="16">
        <f>IF($L153="","",IF(INDEX('Schedule'!$A$4:$A$1003,$L153)="","",INDEX('Schedule'!$A$4:$A$1003,$L153)))</f>
        <v/>
      </c>
      <c r="C153" s="16">
        <f>IF($B153="","",IFERROR(INDEX('Cars'!$F$4:$F$103,MATCH($B153,'Cars'!$A$4:$A$103,0))&amp;"",""))</f>
        <v/>
      </c>
      <c r="D153" s="16">
        <f>IF($L153="","",IF(INDEX('Schedule'!$C$4:$C$1003,$L153)="","",INDEX('Schedule'!$C$4:$C$1003,$L153)))</f>
        <v/>
      </c>
      <c r="E153" s="19">
        <f>IF($L153="","",IF(INDEX('Schedule'!$F$4:$F$1003,$L153)="","",INDEX('Schedule'!$F$4:$F$1003,$L153)))</f>
        <v/>
      </c>
      <c r="F153" s="20">
        <f>IF($L153="","",IF(INDEX('Schedule'!$G$4:$G$1003,$L153)="","",INDEX('Schedule'!$G$4:$G$1003,$L153)))</f>
        <v/>
      </c>
      <c r="G153" s="19">
        <f>IF($L153="","",IF(INDEX('Schedule'!$I$4:$I$1003,$L153)="","",INDEX('Schedule'!$I$4:$I$1003,$L153)))</f>
        <v/>
      </c>
      <c r="H153" s="21">
        <f>IF($L153="","",IF(INDEX('Schedule'!$J$4:$J$1003,$L153)="","",INDEX('Schedule'!$J$4:$J$1003,$L153)))</f>
        <v/>
      </c>
      <c r="I153" s="16">
        <f>IF($L153="","",IF(INDEX('Schedule'!$M$4:$M$1003,$L153)="","",INDEX('Schedule'!$M$4:$M$1003,$L153)))</f>
        <v/>
      </c>
      <c r="J153" s="15" t="n"/>
      <c r="K153" s="15" t="n"/>
      <c r="L153">
        <f>IFERROR(MATCH(SMALL('Schedule'!$O$4:$O$1003,150),'Schedule'!$O$4:$O$1003,0),"")</f>
        <v/>
      </c>
    </row>
    <row r="154">
      <c r="A154" s="16">
        <f>IF($L154="","",151)</f>
        <v/>
      </c>
      <c r="B154" s="16">
        <f>IF($L154="","",IF(INDEX('Schedule'!$A$4:$A$1003,$L154)="","",INDEX('Schedule'!$A$4:$A$1003,$L154)))</f>
        <v/>
      </c>
      <c r="C154" s="16">
        <f>IF($B154="","",IFERROR(INDEX('Cars'!$F$4:$F$103,MATCH($B154,'Cars'!$A$4:$A$103,0))&amp;"",""))</f>
        <v/>
      </c>
      <c r="D154" s="16">
        <f>IF($L154="","",IF(INDEX('Schedule'!$C$4:$C$1003,$L154)="","",INDEX('Schedule'!$C$4:$C$1003,$L154)))</f>
        <v/>
      </c>
      <c r="E154" s="19">
        <f>IF($L154="","",IF(INDEX('Schedule'!$F$4:$F$1003,$L154)="","",INDEX('Schedule'!$F$4:$F$1003,$L154)))</f>
        <v/>
      </c>
      <c r="F154" s="20">
        <f>IF($L154="","",IF(INDEX('Schedule'!$G$4:$G$1003,$L154)="","",INDEX('Schedule'!$G$4:$G$1003,$L154)))</f>
        <v/>
      </c>
      <c r="G154" s="19">
        <f>IF($L154="","",IF(INDEX('Schedule'!$I$4:$I$1003,$L154)="","",INDEX('Schedule'!$I$4:$I$1003,$L154)))</f>
        <v/>
      </c>
      <c r="H154" s="21">
        <f>IF($L154="","",IF(INDEX('Schedule'!$J$4:$J$1003,$L154)="","",INDEX('Schedule'!$J$4:$J$1003,$L154)))</f>
        <v/>
      </c>
      <c r="I154" s="16">
        <f>IF($L154="","",IF(INDEX('Schedule'!$M$4:$M$1003,$L154)="","",INDEX('Schedule'!$M$4:$M$1003,$L154)))</f>
        <v/>
      </c>
      <c r="J154" s="15" t="n"/>
      <c r="K154" s="15" t="n"/>
      <c r="L154">
        <f>IFERROR(MATCH(SMALL('Schedule'!$O$4:$O$1003,151),'Schedule'!$O$4:$O$1003,0),"")</f>
        <v/>
      </c>
    </row>
    <row r="155">
      <c r="A155" s="16">
        <f>IF($L155="","",152)</f>
        <v/>
      </c>
      <c r="B155" s="16">
        <f>IF($L155="","",IF(INDEX('Schedule'!$A$4:$A$1003,$L155)="","",INDEX('Schedule'!$A$4:$A$1003,$L155)))</f>
        <v/>
      </c>
      <c r="C155" s="16">
        <f>IF($B155="","",IFERROR(INDEX('Cars'!$F$4:$F$103,MATCH($B155,'Cars'!$A$4:$A$103,0))&amp;"",""))</f>
        <v/>
      </c>
      <c r="D155" s="16">
        <f>IF($L155="","",IF(INDEX('Schedule'!$C$4:$C$1003,$L155)="","",INDEX('Schedule'!$C$4:$C$1003,$L155)))</f>
        <v/>
      </c>
      <c r="E155" s="19">
        <f>IF($L155="","",IF(INDEX('Schedule'!$F$4:$F$1003,$L155)="","",INDEX('Schedule'!$F$4:$F$1003,$L155)))</f>
        <v/>
      </c>
      <c r="F155" s="20">
        <f>IF($L155="","",IF(INDEX('Schedule'!$G$4:$G$1003,$L155)="","",INDEX('Schedule'!$G$4:$G$1003,$L155)))</f>
        <v/>
      </c>
      <c r="G155" s="19">
        <f>IF($L155="","",IF(INDEX('Schedule'!$I$4:$I$1003,$L155)="","",INDEX('Schedule'!$I$4:$I$1003,$L155)))</f>
        <v/>
      </c>
      <c r="H155" s="21">
        <f>IF($L155="","",IF(INDEX('Schedule'!$J$4:$J$1003,$L155)="","",INDEX('Schedule'!$J$4:$J$1003,$L155)))</f>
        <v/>
      </c>
      <c r="I155" s="16">
        <f>IF($L155="","",IF(INDEX('Schedule'!$M$4:$M$1003,$L155)="","",INDEX('Schedule'!$M$4:$M$1003,$L155)))</f>
        <v/>
      </c>
      <c r="J155" s="15" t="n"/>
      <c r="K155" s="15" t="n"/>
      <c r="L155">
        <f>IFERROR(MATCH(SMALL('Schedule'!$O$4:$O$1003,152),'Schedule'!$O$4:$O$1003,0),"")</f>
        <v/>
      </c>
    </row>
    <row r="156">
      <c r="A156" s="16">
        <f>IF($L156="","",153)</f>
        <v/>
      </c>
      <c r="B156" s="16">
        <f>IF($L156="","",IF(INDEX('Schedule'!$A$4:$A$1003,$L156)="","",INDEX('Schedule'!$A$4:$A$1003,$L156)))</f>
        <v/>
      </c>
      <c r="C156" s="16">
        <f>IF($B156="","",IFERROR(INDEX('Cars'!$F$4:$F$103,MATCH($B156,'Cars'!$A$4:$A$103,0))&amp;"",""))</f>
        <v/>
      </c>
      <c r="D156" s="16">
        <f>IF($L156="","",IF(INDEX('Schedule'!$C$4:$C$1003,$L156)="","",INDEX('Schedule'!$C$4:$C$1003,$L156)))</f>
        <v/>
      </c>
      <c r="E156" s="19">
        <f>IF($L156="","",IF(INDEX('Schedule'!$F$4:$F$1003,$L156)="","",INDEX('Schedule'!$F$4:$F$1003,$L156)))</f>
        <v/>
      </c>
      <c r="F156" s="20">
        <f>IF($L156="","",IF(INDEX('Schedule'!$G$4:$G$1003,$L156)="","",INDEX('Schedule'!$G$4:$G$1003,$L156)))</f>
        <v/>
      </c>
      <c r="G156" s="19">
        <f>IF($L156="","",IF(INDEX('Schedule'!$I$4:$I$1003,$L156)="","",INDEX('Schedule'!$I$4:$I$1003,$L156)))</f>
        <v/>
      </c>
      <c r="H156" s="21">
        <f>IF($L156="","",IF(INDEX('Schedule'!$J$4:$J$1003,$L156)="","",INDEX('Schedule'!$J$4:$J$1003,$L156)))</f>
        <v/>
      </c>
      <c r="I156" s="16">
        <f>IF($L156="","",IF(INDEX('Schedule'!$M$4:$M$1003,$L156)="","",INDEX('Schedule'!$M$4:$M$1003,$L156)))</f>
        <v/>
      </c>
      <c r="J156" s="15" t="n"/>
      <c r="K156" s="15" t="n"/>
      <c r="L156">
        <f>IFERROR(MATCH(SMALL('Schedule'!$O$4:$O$1003,153),'Schedule'!$O$4:$O$1003,0),"")</f>
        <v/>
      </c>
    </row>
    <row r="157">
      <c r="A157" s="16">
        <f>IF($L157="","",154)</f>
        <v/>
      </c>
      <c r="B157" s="16">
        <f>IF($L157="","",IF(INDEX('Schedule'!$A$4:$A$1003,$L157)="","",INDEX('Schedule'!$A$4:$A$1003,$L157)))</f>
        <v/>
      </c>
      <c r="C157" s="16">
        <f>IF($B157="","",IFERROR(INDEX('Cars'!$F$4:$F$103,MATCH($B157,'Cars'!$A$4:$A$103,0))&amp;"",""))</f>
        <v/>
      </c>
      <c r="D157" s="16">
        <f>IF($L157="","",IF(INDEX('Schedule'!$C$4:$C$1003,$L157)="","",INDEX('Schedule'!$C$4:$C$1003,$L157)))</f>
        <v/>
      </c>
      <c r="E157" s="19">
        <f>IF($L157="","",IF(INDEX('Schedule'!$F$4:$F$1003,$L157)="","",INDEX('Schedule'!$F$4:$F$1003,$L157)))</f>
        <v/>
      </c>
      <c r="F157" s="20">
        <f>IF($L157="","",IF(INDEX('Schedule'!$G$4:$G$1003,$L157)="","",INDEX('Schedule'!$G$4:$G$1003,$L157)))</f>
        <v/>
      </c>
      <c r="G157" s="19">
        <f>IF($L157="","",IF(INDEX('Schedule'!$I$4:$I$1003,$L157)="","",INDEX('Schedule'!$I$4:$I$1003,$L157)))</f>
        <v/>
      </c>
      <c r="H157" s="21">
        <f>IF($L157="","",IF(INDEX('Schedule'!$J$4:$J$1003,$L157)="","",INDEX('Schedule'!$J$4:$J$1003,$L157)))</f>
        <v/>
      </c>
      <c r="I157" s="16">
        <f>IF($L157="","",IF(INDEX('Schedule'!$M$4:$M$1003,$L157)="","",INDEX('Schedule'!$M$4:$M$1003,$L157)))</f>
        <v/>
      </c>
      <c r="J157" s="15" t="n"/>
      <c r="K157" s="15" t="n"/>
      <c r="L157">
        <f>IFERROR(MATCH(SMALL('Schedule'!$O$4:$O$1003,154),'Schedule'!$O$4:$O$1003,0),"")</f>
        <v/>
      </c>
    </row>
    <row r="158">
      <c r="A158" s="16">
        <f>IF($L158="","",155)</f>
        <v/>
      </c>
      <c r="B158" s="16">
        <f>IF($L158="","",IF(INDEX('Schedule'!$A$4:$A$1003,$L158)="","",INDEX('Schedule'!$A$4:$A$1003,$L158)))</f>
        <v/>
      </c>
      <c r="C158" s="16">
        <f>IF($B158="","",IFERROR(INDEX('Cars'!$F$4:$F$103,MATCH($B158,'Cars'!$A$4:$A$103,0))&amp;"",""))</f>
        <v/>
      </c>
      <c r="D158" s="16">
        <f>IF($L158="","",IF(INDEX('Schedule'!$C$4:$C$1003,$L158)="","",INDEX('Schedule'!$C$4:$C$1003,$L158)))</f>
        <v/>
      </c>
      <c r="E158" s="19">
        <f>IF($L158="","",IF(INDEX('Schedule'!$F$4:$F$1003,$L158)="","",INDEX('Schedule'!$F$4:$F$1003,$L158)))</f>
        <v/>
      </c>
      <c r="F158" s="20">
        <f>IF($L158="","",IF(INDEX('Schedule'!$G$4:$G$1003,$L158)="","",INDEX('Schedule'!$G$4:$G$1003,$L158)))</f>
        <v/>
      </c>
      <c r="G158" s="19">
        <f>IF($L158="","",IF(INDEX('Schedule'!$I$4:$I$1003,$L158)="","",INDEX('Schedule'!$I$4:$I$1003,$L158)))</f>
        <v/>
      </c>
      <c r="H158" s="21">
        <f>IF($L158="","",IF(INDEX('Schedule'!$J$4:$J$1003,$L158)="","",INDEX('Schedule'!$J$4:$J$1003,$L158)))</f>
        <v/>
      </c>
      <c r="I158" s="16">
        <f>IF($L158="","",IF(INDEX('Schedule'!$M$4:$M$1003,$L158)="","",INDEX('Schedule'!$M$4:$M$1003,$L158)))</f>
        <v/>
      </c>
      <c r="J158" s="15" t="n"/>
      <c r="K158" s="15" t="n"/>
      <c r="L158">
        <f>IFERROR(MATCH(SMALL('Schedule'!$O$4:$O$1003,155),'Schedule'!$O$4:$O$1003,0),"")</f>
        <v/>
      </c>
    </row>
    <row r="159">
      <c r="A159" s="16">
        <f>IF($L159="","",156)</f>
        <v/>
      </c>
      <c r="B159" s="16">
        <f>IF($L159="","",IF(INDEX('Schedule'!$A$4:$A$1003,$L159)="","",INDEX('Schedule'!$A$4:$A$1003,$L159)))</f>
        <v/>
      </c>
      <c r="C159" s="16">
        <f>IF($B159="","",IFERROR(INDEX('Cars'!$F$4:$F$103,MATCH($B159,'Cars'!$A$4:$A$103,0))&amp;"",""))</f>
        <v/>
      </c>
      <c r="D159" s="16">
        <f>IF($L159="","",IF(INDEX('Schedule'!$C$4:$C$1003,$L159)="","",INDEX('Schedule'!$C$4:$C$1003,$L159)))</f>
        <v/>
      </c>
      <c r="E159" s="19">
        <f>IF($L159="","",IF(INDEX('Schedule'!$F$4:$F$1003,$L159)="","",INDEX('Schedule'!$F$4:$F$1003,$L159)))</f>
        <v/>
      </c>
      <c r="F159" s="20">
        <f>IF($L159="","",IF(INDEX('Schedule'!$G$4:$G$1003,$L159)="","",INDEX('Schedule'!$G$4:$G$1003,$L159)))</f>
        <v/>
      </c>
      <c r="G159" s="19">
        <f>IF($L159="","",IF(INDEX('Schedule'!$I$4:$I$1003,$L159)="","",INDEX('Schedule'!$I$4:$I$1003,$L159)))</f>
        <v/>
      </c>
      <c r="H159" s="21">
        <f>IF($L159="","",IF(INDEX('Schedule'!$J$4:$J$1003,$L159)="","",INDEX('Schedule'!$J$4:$J$1003,$L159)))</f>
        <v/>
      </c>
      <c r="I159" s="16">
        <f>IF($L159="","",IF(INDEX('Schedule'!$M$4:$M$1003,$L159)="","",INDEX('Schedule'!$M$4:$M$1003,$L159)))</f>
        <v/>
      </c>
      <c r="J159" s="15" t="n"/>
      <c r="K159" s="15" t="n"/>
      <c r="L159">
        <f>IFERROR(MATCH(SMALL('Schedule'!$O$4:$O$1003,156),'Schedule'!$O$4:$O$1003,0),"")</f>
        <v/>
      </c>
    </row>
    <row r="160">
      <c r="A160" s="16">
        <f>IF($L160="","",157)</f>
        <v/>
      </c>
      <c r="B160" s="16">
        <f>IF($L160="","",IF(INDEX('Schedule'!$A$4:$A$1003,$L160)="","",INDEX('Schedule'!$A$4:$A$1003,$L160)))</f>
        <v/>
      </c>
      <c r="C160" s="16">
        <f>IF($B160="","",IFERROR(INDEX('Cars'!$F$4:$F$103,MATCH($B160,'Cars'!$A$4:$A$103,0))&amp;"",""))</f>
        <v/>
      </c>
      <c r="D160" s="16">
        <f>IF($L160="","",IF(INDEX('Schedule'!$C$4:$C$1003,$L160)="","",INDEX('Schedule'!$C$4:$C$1003,$L160)))</f>
        <v/>
      </c>
      <c r="E160" s="19">
        <f>IF($L160="","",IF(INDEX('Schedule'!$F$4:$F$1003,$L160)="","",INDEX('Schedule'!$F$4:$F$1003,$L160)))</f>
        <v/>
      </c>
      <c r="F160" s="20">
        <f>IF($L160="","",IF(INDEX('Schedule'!$G$4:$G$1003,$L160)="","",INDEX('Schedule'!$G$4:$G$1003,$L160)))</f>
        <v/>
      </c>
      <c r="G160" s="19">
        <f>IF($L160="","",IF(INDEX('Schedule'!$I$4:$I$1003,$L160)="","",INDEX('Schedule'!$I$4:$I$1003,$L160)))</f>
        <v/>
      </c>
      <c r="H160" s="21">
        <f>IF($L160="","",IF(INDEX('Schedule'!$J$4:$J$1003,$L160)="","",INDEX('Schedule'!$J$4:$J$1003,$L160)))</f>
        <v/>
      </c>
      <c r="I160" s="16">
        <f>IF($L160="","",IF(INDEX('Schedule'!$M$4:$M$1003,$L160)="","",INDEX('Schedule'!$M$4:$M$1003,$L160)))</f>
        <v/>
      </c>
      <c r="J160" s="15" t="n"/>
      <c r="K160" s="15" t="n"/>
      <c r="L160">
        <f>IFERROR(MATCH(SMALL('Schedule'!$O$4:$O$1003,157),'Schedule'!$O$4:$O$1003,0),"")</f>
        <v/>
      </c>
    </row>
    <row r="161">
      <c r="A161" s="16">
        <f>IF($L161="","",158)</f>
        <v/>
      </c>
      <c r="B161" s="16">
        <f>IF($L161="","",IF(INDEX('Schedule'!$A$4:$A$1003,$L161)="","",INDEX('Schedule'!$A$4:$A$1003,$L161)))</f>
        <v/>
      </c>
      <c r="C161" s="16">
        <f>IF($B161="","",IFERROR(INDEX('Cars'!$F$4:$F$103,MATCH($B161,'Cars'!$A$4:$A$103,0))&amp;"",""))</f>
        <v/>
      </c>
      <c r="D161" s="16">
        <f>IF($L161="","",IF(INDEX('Schedule'!$C$4:$C$1003,$L161)="","",INDEX('Schedule'!$C$4:$C$1003,$L161)))</f>
        <v/>
      </c>
      <c r="E161" s="19">
        <f>IF($L161="","",IF(INDEX('Schedule'!$F$4:$F$1003,$L161)="","",INDEX('Schedule'!$F$4:$F$1003,$L161)))</f>
        <v/>
      </c>
      <c r="F161" s="20">
        <f>IF($L161="","",IF(INDEX('Schedule'!$G$4:$G$1003,$L161)="","",INDEX('Schedule'!$G$4:$G$1003,$L161)))</f>
        <v/>
      </c>
      <c r="G161" s="19">
        <f>IF($L161="","",IF(INDEX('Schedule'!$I$4:$I$1003,$L161)="","",INDEX('Schedule'!$I$4:$I$1003,$L161)))</f>
        <v/>
      </c>
      <c r="H161" s="21">
        <f>IF($L161="","",IF(INDEX('Schedule'!$J$4:$J$1003,$L161)="","",INDEX('Schedule'!$J$4:$J$1003,$L161)))</f>
        <v/>
      </c>
      <c r="I161" s="16">
        <f>IF($L161="","",IF(INDEX('Schedule'!$M$4:$M$1003,$L161)="","",INDEX('Schedule'!$M$4:$M$1003,$L161)))</f>
        <v/>
      </c>
      <c r="J161" s="15" t="n"/>
      <c r="K161" s="15" t="n"/>
      <c r="L161">
        <f>IFERROR(MATCH(SMALL('Schedule'!$O$4:$O$1003,158),'Schedule'!$O$4:$O$1003,0),"")</f>
        <v/>
      </c>
    </row>
    <row r="162">
      <c r="A162" s="16">
        <f>IF($L162="","",159)</f>
        <v/>
      </c>
      <c r="B162" s="16">
        <f>IF($L162="","",IF(INDEX('Schedule'!$A$4:$A$1003,$L162)="","",INDEX('Schedule'!$A$4:$A$1003,$L162)))</f>
        <v/>
      </c>
      <c r="C162" s="16">
        <f>IF($B162="","",IFERROR(INDEX('Cars'!$F$4:$F$103,MATCH($B162,'Cars'!$A$4:$A$103,0))&amp;"",""))</f>
        <v/>
      </c>
      <c r="D162" s="16">
        <f>IF($L162="","",IF(INDEX('Schedule'!$C$4:$C$1003,$L162)="","",INDEX('Schedule'!$C$4:$C$1003,$L162)))</f>
        <v/>
      </c>
      <c r="E162" s="19">
        <f>IF($L162="","",IF(INDEX('Schedule'!$F$4:$F$1003,$L162)="","",INDEX('Schedule'!$F$4:$F$1003,$L162)))</f>
        <v/>
      </c>
      <c r="F162" s="20">
        <f>IF($L162="","",IF(INDEX('Schedule'!$G$4:$G$1003,$L162)="","",INDEX('Schedule'!$G$4:$G$1003,$L162)))</f>
        <v/>
      </c>
      <c r="G162" s="19">
        <f>IF($L162="","",IF(INDEX('Schedule'!$I$4:$I$1003,$L162)="","",INDEX('Schedule'!$I$4:$I$1003,$L162)))</f>
        <v/>
      </c>
      <c r="H162" s="21">
        <f>IF($L162="","",IF(INDEX('Schedule'!$J$4:$J$1003,$L162)="","",INDEX('Schedule'!$J$4:$J$1003,$L162)))</f>
        <v/>
      </c>
      <c r="I162" s="16">
        <f>IF($L162="","",IF(INDEX('Schedule'!$M$4:$M$1003,$L162)="","",INDEX('Schedule'!$M$4:$M$1003,$L162)))</f>
        <v/>
      </c>
      <c r="J162" s="15" t="n"/>
      <c r="K162" s="15" t="n"/>
      <c r="L162">
        <f>IFERROR(MATCH(SMALL('Schedule'!$O$4:$O$1003,159),'Schedule'!$O$4:$O$1003,0),"")</f>
        <v/>
      </c>
    </row>
    <row r="163">
      <c r="A163" s="16">
        <f>IF($L163="","",160)</f>
        <v/>
      </c>
      <c r="B163" s="16">
        <f>IF($L163="","",IF(INDEX('Schedule'!$A$4:$A$1003,$L163)="","",INDEX('Schedule'!$A$4:$A$1003,$L163)))</f>
        <v/>
      </c>
      <c r="C163" s="16">
        <f>IF($B163="","",IFERROR(INDEX('Cars'!$F$4:$F$103,MATCH($B163,'Cars'!$A$4:$A$103,0))&amp;"",""))</f>
        <v/>
      </c>
      <c r="D163" s="16">
        <f>IF($L163="","",IF(INDEX('Schedule'!$C$4:$C$1003,$L163)="","",INDEX('Schedule'!$C$4:$C$1003,$L163)))</f>
        <v/>
      </c>
      <c r="E163" s="19">
        <f>IF($L163="","",IF(INDEX('Schedule'!$F$4:$F$1003,$L163)="","",INDEX('Schedule'!$F$4:$F$1003,$L163)))</f>
        <v/>
      </c>
      <c r="F163" s="20">
        <f>IF($L163="","",IF(INDEX('Schedule'!$G$4:$G$1003,$L163)="","",INDEX('Schedule'!$G$4:$G$1003,$L163)))</f>
        <v/>
      </c>
      <c r="G163" s="19">
        <f>IF($L163="","",IF(INDEX('Schedule'!$I$4:$I$1003,$L163)="","",INDEX('Schedule'!$I$4:$I$1003,$L163)))</f>
        <v/>
      </c>
      <c r="H163" s="21">
        <f>IF($L163="","",IF(INDEX('Schedule'!$J$4:$J$1003,$L163)="","",INDEX('Schedule'!$J$4:$J$1003,$L163)))</f>
        <v/>
      </c>
      <c r="I163" s="16">
        <f>IF($L163="","",IF(INDEX('Schedule'!$M$4:$M$1003,$L163)="","",INDEX('Schedule'!$M$4:$M$1003,$L163)))</f>
        <v/>
      </c>
      <c r="J163" s="15" t="n"/>
      <c r="K163" s="15" t="n"/>
      <c r="L163">
        <f>IFERROR(MATCH(SMALL('Schedule'!$O$4:$O$1003,160),'Schedule'!$O$4:$O$1003,0),"")</f>
        <v/>
      </c>
    </row>
    <row r="164">
      <c r="A164" s="16">
        <f>IF($L164="","",161)</f>
        <v/>
      </c>
      <c r="B164" s="16">
        <f>IF($L164="","",IF(INDEX('Schedule'!$A$4:$A$1003,$L164)="","",INDEX('Schedule'!$A$4:$A$1003,$L164)))</f>
        <v/>
      </c>
      <c r="C164" s="16">
        <f>IF($B164="","",IFERROR(INDEX('Cars'!$F$4:$F$103,MATCH($B164,'Cars'!$A$4:$A$103,0))&amp;"",""))</f>
        <v/>
      </c>
      <c r="D164" s="16">
        <f>IF($L164="","",IF(INDEX('Schedule'!$C$4:$C$1003,$L164)="","",INDEX('Schedule'!$C$4:$C$1003,$L164)))</f>
        <v/>
      </c>
      <c r="E164" s="19">
        <f>IF($L164="","",IF(INDEX('Schedule'!$F$4:$F$1003,$L164)="","",INDEX('Schedule'!$F$4:$F$1003,$L164)))</f>
        <v/>
      </c>
      <c r="F164" s="20">
        <f>IF($L164="","",IF(INDEX('Schedule'!$G$4:$G$1003,$L164)="","",INDEX('Schedule'!$G$4:$G$1003,$L164)))</f>
        <v/>
      </c>
      <c r="G164" s="19">
        <f>IF($L164="","",IF(INDEX('Schedule'!$I$4:$I$1003,$L164)="","",INDEX('Schedule'!$I$4:$I$1003,$L164)))</f>
        <v/>
      </c>
      <c r="H164" s="21">
        <f>IF($L164="","",IF(INDEX('Schedule'!$J$4:$J$1003,$L164)="","",INDEX('Schedule'!$J$4:$J$1003,$L164)))</f>
        <v/>
      </c>
      <c r="I164" s="16">
        <f>IF($L164="","",IF(INDEX('Schedule'!$M$4:$M$1003,$L164)="","",INDEX('Schedule'!$M$4:$M$1003,$L164)))</f>
        <v/>
      </c>
      <c r="J164" s="15" t="n"/>
      <c r="K164" s="15" t="n"/>
      <c r="L164">
        <f>IFERROR(MATCH(SMALL('Schedule'!$O$4:$O$1003,161),'Schedule'!$O$4:$O$1003,0),"")</f>
        <v/>
      </c>
    </row>
    <row r="165">
      <c r="A165" s="16">
        <f>IF($L165="","",162)</f>
        <v/>
      </c>
      <c r="B165" s="16">
        <f>IF($L165="","",IF(INDEX('Schedule'!$A$4:$A$1003,$L165)="","",INDEX('Schedule'!$A$4:$A$1003,$L165)))</f>
        <v/>
      </c>
      <c r="C165" s="16">
        <f>IF($B165="","",IFERROR(INDEX('Cars'!$F$4:$F$103,MATCH($B165,'Cars'!$A$4:$A$103,0))&amp;"",""))</f>
        <v/>
      </c>
      <c r="D165" s="16">
        <f>IF($L165="","",IF(INDEX('Schedule'!$C$4:$C$1003,$L165)="","",INDEX('Schedule'!$C$4:$C$1003,$L165)))</f>
        <v/>
      </c>
      <c r="E165" s="19">
        <f>IF($L165="","",IF(INDEX('Schedule'!$F$4:$F$1003,$L165)="","",INDEX('Schedule'!$F$4:$F$1003,$L165)))</f>
        <v/>
      </c>
      <c r="F165" s="20">
        <f>IF($L165="","",IF(INDEX('Schedule'!$G$4:$G$1003,$L165)="","",INDEX('Schedule'!$G$4:$G$1003,$L165)))</f>
        <v/>
      </c>
      <c r="G165" s="19">
        <f>IF($L165="","",IF(INDEX('Schedule'!$I$4:$I$1003,$L165)="","",INDEX('Schedule'!$I$4:$I$1003,$L165)))</f>
        <v/>
      </c>
      <c r="H165" s="21">
        <f>IF($L165="","",IF(INDEX('Schedule'!$J$4:$J$1003,$L165)="","",INDEX('Schedule'!$J$4:$J$1003,$L165)))</f>
        <v/>
      </c>
      <c r="I165" s="16">
        <f>IF($L165="","",IF(INDEX('Schedule'!$M$4:$M$1003,$L165)="","",INDEX('Schedule'!$M$4:$M$1003,$L165)))</f>
        <v/>
      </c>
      <c r="J165" s="15" t="n"/>
      <c r="K165" s="15" t="n"/>
      <c r="L165">
        <f>IFERROR(MATCH(SMALL('Schedule'!$O$4:$O$1003,162),'Schedule'!$O$4:$O$1003,0),"")</f>
        <v/>
      </c>
    </row>
    <row r="166">
      <c r="A166" s="16">
        <f>IF($L166="","",163)</f>
        <v/>
      </c>
      <c r="B166" s="16">
        <f>IF($L166="","",IF(INDEX('Schedule'!$A$4:$A$1003,$L166)="","",INDEX('Schedule'!$A$4:$A$1003,$L166)))</f>
        <v/>
      </c>
      <c r="C166" s="16">
        <f>IF($B166="","",IFERROR(INDEX('Cars'!$F$4:$F$103,MATCH($B166,'Cars'!$A$4:$A$103,0))&amp;"",""))</f>
        <v/>
      </c>
      <c r="D166" s="16">
        <f>IF($L166="","",IF(INDEX('Schedule'!$C$4:$C$1003,$L166)="","",INDEX('Schedule'!$C$4:$C$1003,$L166)))</f>
        <v/>
      </c>
      <c r="E166" s="19">
        <f>IF($L166="","",IF(INDEX('Schedule'!$F$4:$F$1003,$L166)="","",INDEX('Schedule'!$F$4:$F$1003,$L166)))</f>
        <v/>
      </c>
      <c r="F166" s="20">
        <f>IF($L166="","",IF(INDEX('Schedule'!$G$4:$G$1003,$L166)="","",INDEX('Schedule'!$G$4:$G$1003,$L166)))</f>
        <v/>
      </c>
      <c r="G166" s="19">
        <f>IF($L166="","",IF(INDEX('Schedule'!$I$4:$I$1003,$L166)="","",INDEX('Schedule'!$I$4:$I$1003,$L166)))</f>
        <v/>
      </c>
      <c r="H166" s="21">
        <f>IF($L166="","",IF(INDEX('Schedule'!$J$4:$J$1003,$L166)="","",INDEX('Schedule'!$J$4:$J$1003,$L166)))</f>
        <v/>
      </c>
      <c r="I166" s="16">
        <f>IF($L166="","",IF(INDEX('Schedule'!$M$4:$M$1003,$L166)="","",INDEX('Schedule'!$M$4:$M$1003,$L166)))</f>
        <v/>
      </c>
      <c r="J166" s="15" t="n"/>
      <c r="K166" s="15" t="n"/>
      <c r="L166">
        <f>IFERROR(MATCH(SMALL('Schedule'!$O$4:$O$1003,163),'Schedule'!$O$4:$O$1003,0),"")</f>
        <v/>
      </c>
    </row>
    <row r="167">
      <c r="A167" s="16">
        <f>IF($L167="","",164)</f>
        <v/>
      </c>
      <c r="B167" s="16">
        <f>IF($L167="","",IF(INDEX('Schedule'!$A$4:$A$1003,$L167)="","",INDEX('Schedule'!$A$4:$A$1003,$L167)))</f>
        <v/>
      </c>
      <c r="C167" s="16">
        <f>IF($B167="","",IFERROR(INDEX('Cars'!$F$4:$F$103,MATCH($B167,'Cars'!$A$4:$A$103,0))&amp;"",""))</f>
        <v/>
      </c>
      <c r="D167" s="16">
        <f>IF($L167="","",IF(INDEX('Schedule'!$C$4:$C$1003,$L167)="","",INDEX('Schedule'!$C$4:$C$1003,$L167)))</f>
        <v/>
      </c>
      <c r="E167" s="19">
        <f>IF($L167="","",IF(INDEX('Schedule'!$F$4:$F$1003,$L167)="","",INDEX('Schedule'!$F$4:$F$1003,$L167)))</f>
        <v/>
      </c>
      <c r="F167" s="20">
        <f>IF($L167="","",IF(INDEX('Schedule'!$G$4:$G$1003,$L167)="","",INDEX('Schedule'!$G$4:$G$1003,$L167)))</f>
        <v/>
      </c>
      <c r="G167" s="19">
        <f>IF($L167="","",IF(INDEX('Schedule'!$I$4:$I$1003,$L167)="","",INDEX('Schedule'!$I$4:$I$1003,$L167)))</f>
        <v/>
      </c>
      <c r="H167" s="21">
        <f>IF($L167="","",IF(INDEX('Schedule'!$J$4:$J$1003,$L167)="","",INDEX('Schedule'!$J$4:$J$1003,$L167)))</f>
        <v/>
      </c>
      <c r="I167" s="16">
        <f>IF($L167="","",IF(INDEX('Schedule'!$M$4:$M$1003,$L167)="","",INDEX('Schedule'!$M$4:$M$1003,$L167)))</f>
        <v/>
      </c>
      <c r="J167" s="15" t="n"/>
      <c r="K167" s="15" t="n"/>
      <c r="L167">
        <f>IFERROR(MATCH(SMALL('Schedule'!$O$4:$O$1003,164),'Schedule'!$O$4:$O$1003,0),"")</f>
        <v/>
      </c>
    </row>
    <row r="168">
      <c r="A168" s="16">
        <f>IF($L168="","",165)</f>
        <v/>
      </c>
      <c r="B168" s="16">
        <f>IF($L168="","",IF(INDEX('Schedule'!$A$4:$A$1003,$L168)="","",INDEX('Schedule'!$A$4:$A$1003,$L168)))</f>
        <v/>
      </c>
      <c r="C168" s="16">
        <f>IF($B168="","",IFERROR(INDEX('Cars'!$F$4:$F$103,MATCH($B168,'Cars'!$A$4:$A$103,0))&amp;"",""))</f>
        <v/>
      </c>
      <c r="D168" s="16">
        <f>IF($L168="","",IF(INDEX('Schedule'!$C$4:$C$1003,$L168)="","",INDEX('Schedule'!$C$4:$C$1003,$L168)))</f>
        <v/>
      </c>
      <c r="E168" s="19">
        <f>IF($L168="","",IF(INDEX('Schedule'!$F$4:$F$1003,$L168)="","",INDEX('Schedule'!$F$4:$F$1003,$L168)))</f>
        <v/>
      </c>
      <c r="F168" s="20">
        <f>IF($L168="","",IF(INDEX('Schedule'!$G$4:$G$1003,$L168)="","",INDEX('Schedule'!$G$4:$G$1003,$L168)))</f>
        <v/>
      </c>
      <c r="G168" s="19">
        <f>IF($L168="","",IF(INDEX('Schedule'!$I$4:$I$1003,$L168)="","",INDEX('Schedule'!$I$4:$I$1003,$L168)))</f>
        <v/>
      </c>
      <c r="H168" s="21">
        <f>IF($L168="","",IF(INDEX('Schedule'!$J$4:$J$1003,$L168)="","",INDEX('Schedule'!$J$4:$J$1003,$L168)))</f>
        <v/>
      </c>
      <c r="I168" s="16">
        <f>IF($L168="","",IF(INDEX('Schedule'!$M$4:$M$1003,$L168)="","",INDEX('Schedule'!$M$4:$M$1003,$L168)))</f>
        <v/>
      </c>
      <c r="J168" s="15" t="n"/>
      <c r="K168" s="15" t="n"/>
      <c r="L168">
        <f>IFERROR(MATCH(SMALL('Schedule'!$O$4:$O$1003,165),'Schedule'!$O$4:$O$1003,0),"")</f>
        <v/>
      </c>
    </row>
    <row r="169">
      <c r="A169" s="16">
        <f>IF($L169="","",166)</f>
        <v/>
      </c>
      <c r="B169" s="16">
        <f>IF($L169="","",IF(INDEX('Schedule'!$A$4:$A$1003,$L169)="","",INDEX('Schedule'!$A$4:$A$1003,$L169)))</f>
        <v/>
      </c>
      <c r="C169" s="16">
        <f>IF($B169="","",IFERROR(INDEX('Cars'!$F$4:$F$103,MATCH($B169,'Cars'!$A$4:$A$103,0))&amp;"",""))</f>
        <v/>
      </c>
      <c r="D169" s="16">
        <f>IF($L169="","",IF(INDEX('Schedule'!$C$4:$C$1003,$L169)="","",INDEX('Schedule'!$C$4:$C$1003,$L169)))</f>
        <v/>
      </c>
      <c r="E169" s="19">
        <f>IF($L169="","",IF(INDEX('Schedule'!$F$4:$F$1003,$L169)="","",INDEX('Schedule'!$F$4:$F$1003,$L169)))</f>
        <v/>
      </c>
      <c r="F169" s="20">
        <f>IF($L169="","",IF(INDEX('Schedule'!$G$4:$G$1003,$L169)="","",INDEX('Schedule'!$G$4:$G$1003,$L169)))</f>
        <v/>
      </c>
      <c r="G169" s="19">
        <f>IF($L169="","",IF(INDEX('Schedule'!$I$4:$I$1003,$L169)="","",INDEX('Schedule'!$I$4:$I$1003,$L169)))</f>
        <v/>
      </c>
      <c r="H169" s="21">
        <f>IF($L169="","",IF(INDEX('Schedule'!$J$4:$J$1003,$L169)="","",INDEX('Schedule'!$J$4:$J$1003,$L169)))</f>
        <v/>
      </c>
      <c r="I169" s="16">
        <f>IF($L169="","",IF(INDEX('Schedule'!$M$4:$M$1003,$L169)="","",INDEX('Schedule'!$M$4:$M$1003,$L169)))</f>
        <v/>
      </c>
      <c r="J169" s="15" t="n"/>
      <c r="K169" s="15" t="n"/>
      <c r="L169">
        <f>IFERROR(MATCH(SMALL('Schedule'!$O$4:$O$1003,166),'Schedule'!$O$4:$O$1003,0),"")</f>
        <v/>
      </c>
    </row>
    <row r="170">
      <c r="A170" s="16">
        <f>IF($L170="","",167)</f>
        <v/>
      </c>
      <c r="B170" s="16">
        <f>IF($L170="","",IF(INDEX('Schedule'!$A$4:$A$1003,$L170)="","",INDEX('Schedule'!$A$4:$A$1003,$L170)))</f>
        <v/>
      </c>
      <c r="C170" s="16">
        <f>IF($B170="","",IFERROR(INDEX('Cars'!$F$4:$F$103,MATCH($B170,'Cars'!$A$4:$A$103,0))&amp;"",""))</f>
        <v/>
      </c>
      <c r="D170" s="16">
        <f>IF($L170="","",IF(INDEX('Schedule'!$C$4:$C$1003,$L170)="","",INDEX('Schedule'!$C$4:$C$1003,$L170)))</f>
        <v/>
      </c>
      <c r="E170" s="19">
        <f>IF($L170="","",IF(INDEX('Schedule'!$F$4:$F$1003,$L170)="","",INDEX('Schedule'!$F$4:$F$1003,$L170)))</f>
        <v/>
      </c>
      <c r="F170" s="20">
        <f>IF($L170="","",IF(INDEX('Schedule'!$G$4:$G$1003,$L170)="","",INDEX('Schedule'!$G$4:$G$1003,$L170)))</f>
        <v/>
      </c>
      <c r="G170" s="19">
        <f>IF($L170="","",IF(INDEX('Schedule'!$I$4:$I$1003,$L170)="","",INDEX('Schedule'!$I$4:$I$1003,$L170)))</f>
        <v/>
      </c>
      <c r="H170" s="21">
        <f>IF($L170="","",IF(INDEX('Schedule'!$J$4:$J$1003,$L170)="","",INDEX('Schedule'!$J$4:$J$1003,$L170)))</f>
        <v/>
      </c>
      <c r="I170" s="16">
        <f>IF($L170="","",IF(INDEX('Schedule'!$M$4:$M$1003,$L170)="","",INDEX('Schedule'!$M$4:$M$1003,$L170)))</f>
        <v/>
      </c>
      <c r="J170" s="15" t="n"/>
      <c r="K170" s="15" t="n"/>
      <c r="L170">
        <f>IFERROR(MATCH(SMALL('Schedule'!$O$4:$O$1003,167),'Schedule'!$O$4:$O$1003,0),"")</f>
        <v/>
      </c>
    </row>
    <row r="171">
      <c r="A171" s="16">
        <f>IF($L171="","",168)</f>
        <v/>
      </c>
      <c r="B171" s="16">
        <f>IF($L171="","",IF(INDEX('Schedule'!$A$4:$A$1003,$L171)="","",INDEX('Schedule'!$A$4:$A$1003,$L171)))</f>
        <v/>
      </c>
      <c r="C171" s="16">
        <f>IF($B171="","",IFERROR(INDEX('Cars'!$F$4:$F$103,MATCH($B171,'Cars'!$A$4:$A$103,0))&amp;"",""))</f>
        <v/>
      </c>
      <c r="D171" s="16">
        <f>IF($L171="","",IF(INDEX('Schedule'!$C$4:$C$1003,$L171)="","",INDEX('Schedule'!$C$4:$C$1003,$L171)))</f>
        <v/>
      </c>
      <c r="E171" s="19">
        <f>IF($L171="","",IF(INDEX('Schedule'!$F$4:$F$1003,$L171)="","",INDEX('Schedule'!$F$4:$F$1003,$L171)))</f>
        <v/>
      </c>
      <c r="F171" s="20">
        <f>IF($L171="","",IF(INDEX('Schedule'!$G$4:$G$1003,$L171)="","",INDEX('Schedule'!$G$4:$G$1003,$L171)))</f>
        <v/>
      </c>
      <c r="G171" s="19">
        <f>IF($L171="","",IF(INDEX('Schedule'!$I$4:$I$1003,$L171)="","",INDEX('Schedule'!$I$4:$I$1003,$L171)))</f>
        <v/>
      </c>
      <c r="H171" s="21">
        <f>IF($L171="","",IF(INDEX('Schedule'!$J$4:$J$1003,$L171)="","",INDEX('Schedule'!$J$4:$J$1003,$L171)))</f>
        <v/>
      </c>
      <c r="I171" s="16">
        <f>IF($L171="","",IF(INDEX('Schedule'!$M$4:$M$1003,$L171)="","",INDEX('Schedule'!$M$4:$M$1003,$L171)))</f>
        <v/>
      </c>
      <c r="J171" s="15" t="n"/>
      <c r="K171" s="15" t="n"/>
      <c r="L171">
        <f>IFERROR(MATCH(SMALL('Schedule'!$O$4:$O$1003,168),'Schedule'!$O$4:$O$1003,0),"")</f>
        <v/>
      </c>
    </row>
    <row r="172">
      <c r="A172" s="16">
        <f>IF($L172="","",169)</f>
        <v/>
      </c>
      <c r="B172" s="16">
        <f>IF($L172="","",IF(INDEX('Schedule'!$A$4:$A$1003,$L172)="","",INDEX('Schedule'!$A$4:$A$1003,$L172)))</f>
        <v/>
      </c>
      <c r="C172" s="16">
        <f>IF($B172="","",IFERROR(INDEX('Cars'!$F$4:$F$103,MATCH($B172,'Cars'!$A$4:$A$103,0))&amp;"",""))</f>
        <v/>
      </c>
      <c r="D172" s="16">
        <f>IF($L172="","",IF(INDEX('Schedule'!$C$4:$C$1003,$L172)="","",INDEX('Schedule'!$C$4:$C$1003,$L172)))</f>
        <v/>
      </c>
      <c r="E172" s="19">
        <f>IF($L172="","",IF(INDEX('Schedule'!$F$4:$F$1003,$L172)="","",INDEX('Schedule'!$F$4:$F$1003,$L172)))</f>
        <v/>
      </c>
      <c r="F172" s="20">
        <f>IF($L172="","",IF(INDEX('Schedule'!$G$4:$G$1003,$L172)="","",INDEX('Schedule'!$G$4:$G$1003,$L172)))</f>
        <v/>
      </c>
      <c r="G172" s="19">
        <f>IF($L172="","",IF(INDEX('Schedule'!$I$4:$I$1003,$L172)="","",INDEX('Schedule'!$I$4:$I$1003,$L172)))</f>
        <v/>
      </c>
      <c r="H172" s="21">
        <f>IF($L172="","",IF(INDEX('Schedule'!$J$4:$J$1003,$L172)="","",INDEX('Schedule'!$J$4:$J$1003,$L172)))</f>
        <v/>
      </c>
      <c r="I172" s="16">
        <f>IF($L172="","",IF(INDEX('Schedule'!$M$4:$M$1003,$L172)="","",INDEX('Schedule'!$M$4:$M$1003,$L172)))</f>
        <v/>
      </c>
      <c r="J172" s="15" t="n"/>
      <c r="K172" s="15" t="n"/>
      <c r="L172">
        <f>IFERROR(MATCH(SMALL('Schedule'!$O$4:$O$1003,169),'Schedule'!$O$4:$O$1003,0),"")</f>
        <v/>
      </c>
    </row>
    <row r="173">
      <c r="A173" s="16">
        <f>IF($L173="","",170)</f>
        <v/>
      </c>
      <c r="B173" s="16">
        <f>IF($L173="","",IF(INDEX('Schedule'!$A$4:$A$1003,$L173)="","",INDEX('Schedule'!$A$4:$A$1003,$L173)))</f>
        <v/>
      </c>
      <c r="C173" s="16">
        <f>IF($B173="","",IFERROR(INDEX('Cars'!$F$4:$F$103,MATCH($B173,'Cars'!$A$4:$A$103,0))&amp;"",""))</f>
        <v/>
      </c>
      <c r="D173" s="16">
        <f>IF($L173="","",IF(INDEX('Schedule'!$C$4:$C$1003,$L173)="","",INDEX('Schedule'!$C$4:$C$1003,$L173)))</f>
        <v/>
      </c>
      <c r="E173" s="19">
        <f>IF($L173="","",IF(INDEX('Schedule'!$F$4:$F$1003,$L173)="","",INDEX('Schedule'!$F$4:$F$1003,$L173)))</f>
        <v/>
      </c>
      <c r="F173" s="20">
        <f>IF($L173="","",IF(INDEX('Schedule'!$G$4:$G$1003,$L173)="","",INDEX('Schedule'!$G$4:$G$1003,$L173)))</f>
        <v/>
      </c>
      <c r="G173" s="19">
        <f>IF($L173="","",IF(INDEX('Schedule'!$I$4:$I$1003,$L173)="","",INDEX('Schedule'!$I$4:$I$1003,$L173)))</f>
        <v/>
      </c>
      <c r="H173" s="21">
        <f>IF($L173="","",IF(INDEX('Schedule'!$J$4:$J$1003,$L173)="","",INDEX('Schedule'!$J$4:$J$1003,$L173)))</f>
        <v/>
      </c>
      <c r="I173" s="16">
        <f>IF($L173="","",IF(INDEX('Schedule'!$M$4:$M$1003,$L173)="","",INDEX('Schedule'!$M$4:$M$1003,$L173)))</f>
        <v/>
      </c>
      <c r="J173" s="15" t="n"/>
      <c r="K173" s="15" t="n"/>
      <c r="L173">
        <f>IFERROR(MATCH(SMALL('Schedule'!$O$4:$O$1003,170),'Schedule'!$O$4:$O$1003,0),"")</f>
        <v/>
      </c>
    </row>
    <row r="174">
      <c r="A174" s="16">
        <f>IF($L174="","",171)</f>
        <v/>
      </c>
      <c r="B174" s="16">
        <f>IF($L174="","",IF(INDEX('Schedule'!$A$4:$A$1003,$L174)="","",INDEX('Schedule'!$A$4:$A$1003,$L174)))</f>
        <v/>
      </c>
      <c r="C174" s="16">
        <f>IF($B174="","",IFERROR(INDEX('Cars'!$F$4:$F$103,MATCH($B174,'Cars'!$A$4:$A$103,0))&amp;"",""))</f>
        <v/>
      </c>
      <c r="D174" s="16">
        <f>IF($L174="","",IF(INDEX('Schedule'!$C$4:$C$1003,$L174)="","",INDEX('Schedule'!$C$4:$C$1003,$L174)))</f>
        <v/>
      </c>
      <c r="E174" s="19">
        <f>IF($L174="","",IF(INDEX('Schedule'!$F$4:$F$1003,$L174)="","",INDEX('Schedule'!$F$4:$F$1003,$L174)))</f>
        <v/>
      </c>
      <c r="F174" s="20">
        <f>IF($L174="","",IF(INDEX('Schedule'!$G$4:$G$1003,$L174)="","",INDEX('Schedule'!$G$4:$G$1003,$L174)))</f>
        <v/>
      </c>
      <c r="G174" s="19">
        <f>IF($L174="","",IF(INDEX('Schedule'!$I$4:$I$1003,$L174)="","",INDEX('Schedule'!$I$4:$I$1003,$L174)))</f>
        <v/>
      </c>
      <c r="H174" s="21">
        <f>IF($L174="","",IF(INDEX('Schedule'!$J$4:$J$1003,$L174)="","",INDEX('Schedule'!$J$4:$J$1003,$L174)))</f>
        <v/>
      </c>
      <c r="I174" s="16">
        <f>IF($L174="","",IF(INDEX('Schedule'!$M$4:$M$1003,$L174)="","",INDEX('Schedule'!$M$4:$M$1003,$L174)))</f>
        <v/>
      </c>
      <c r="J174" s="15" t="n"/>
      <c r="K174" s="15" t="n"/>
      <c r="L174">
        <f>IFERROR(MATCH(SMALL('Schedule'!$O$4:$O$1003,171),'Schedule'!$O$4:$O$1003,0),"")</f>
        <v/>
      </c>
    </row>
    <row r="175">
      <c r="A175" s="16">
        <f>IF($L175="","",172)</f>
        <v/>
      </c>
      <c r="B175" s="16">
        <f>IF($L175="","",IF(INDEX('Schedule'!$A$4:$A$1003,$L175)="","",INDEX('Schedule'!$A$4:$A$1003,$L175)))</f>
        <v/>
      </c>
      <c r="C175" s="16">
        <f>IF($B175="","",IFERROR(INDEX('Cars'!$F$4:$F$103,MATCH($B175,'Cars'!$A$4:$A$103,0))&amp;"",""))</f>
        <v/>
      </c>
      <c r="D175" s="16">
        <f>IF($L175="","",IF(INDEX('Schedule'!$C$4:$C$1003,$L175)="","",INDEX('Schedule'!$C$4:$C$1003,$L175)))</f>
        <v/>
      </c>
      <c r="E175" s="19">
        <f>IF($L175="","",IF(INDEX('Schedule'!$F$4:$F$1003,$L175)="","",INDEX('Schedule'!$F$4:$F$1003,$L175)))</f>
        <v/>
      </c>
      <c r="F175" s="20">
        <f>IF($L175="","",IF(INDEX('Schedule'!$G$4:$G$1003,$L175)="","",INDEX('Schedule'!$G$4:$G$1003,$L175)))</f>
        <v/>
      </c>
      <c r="G175" s="19">
        <f>IF($L175="","",IF(INDEX('Schedule'!$I$4:$I$1003,$L175)="","",INDEX('Schedule'!$I$4:$I$1003,$L175)))</f>
        <v/>
      </c>
      <c r="H175" s="21">
        <f>IF($L175="","",IF(INDEX('Schedule'!$J$4:$J$1003,$L175)="","",INDEX('Schedule'!$J$4:$J$1003,$L175)))</f>
        <v/>
      </c>
      <c r="I175" s="16">
        <f>IF($L175="","",IF(INDEX('Schedule'!$M$4:$M$1003,$L175)="","",INDEX('Schedule'!$M$4:$M$1003,$L175)))</f>
        <v/>
      </c>
      <c r="J175" s="15" t="n"/>
      <c r="K175" s="15" t="n"/>
      <c r="L175">
        <f>IFERROR(MATCH(SMALL('Schedule'!$O$4:$O$1003,172),'Schedule'!$O$4:$O$1003,0),"")</f>
        <v/>
      </c>
    </row>
    <row r="176">
      <c r="A176" s="16">
        <f>IF($L176="","",173)</f>
        <v/>
      </c>
      <c r="B176" s="16">
        <f>IF($L176="","",IF(INDEX('Schedule'!$A$4:$A$1003,$L176)="","",INDEX('Schedule'!$A$4:$A$1003,$L176)))</f>
        <v/>
      </c>
      <c r="C176" s="16">
        <f>IF($B176="","",IFERROR(INDEX('Cars'!$F$4:$F$103,MATCH($B176,'Cars'!$A$4:$A$103,0))&amp;"",""))</f>
        <v/>
      </c>
      <c r="D176" s="16">
        <f>IF($L176="","",IF(INDEX('Schedule'!$C$4:$C$1003,$L176)="","",INDEX('Schedule'!$C$4:$C$1003,$L176)))</f>
        <v/>
      </c>
      <c r="E176" s="19">
        <f>IF($L176="","",IF(INDEX('Schedule'!$F$4:$F$1003,$L176)="","",INDEX('Schedule'!$F$4:$F$1003,$L176)))</f>
        <v/>
      </c>
      <c r="F176" s="20">
        <f>IF($L176="","",IF(INDEX('Schedule'!$G$4:$G$1003,$L176)="","",INDEX('Schedule'!$G$4:$G$1003,$L176)))</f>
        <v/>
      </c>
      <c r="G176" s="19">
        <f>IF($L176="","",IF(INDEX('Schedule'!$I$4:$I$1003,$L176)="","",INDEX('Schedule'!$I$4:$I$1003,$L176)))</f>
        <v/>
      </c>
      <c r="H176" s="21">
        <f>IF($L176="","",IF(INDEX('Schedule'!$J$4:$J$1003,$L176)="","",INDEX('Schedule'!$J$4:$J$1003,$L176)))</f>
        <v/>
      </c>
      <c r="I176" s="16">
        <f>IF($L176="","",IF(INDEX('Schedule'!$M$4:$M$1003,$L176)="","",INDEX('Schedule'!$M$4:$M$1003,$L176)))</f>
        <v/>
      </c>
      <c r="J176" s="15" t="n"/>
      <c r="K176" s="15" t="n"/>
      <c r="L176">
        <f>IFERROR(MATCH(SMALL('Schedule'!$O$4:$O$1003,173),'Schedule'!$O$4:$O$1003,0),"")</f>
        <v/>
      </c>
    </row>
    <row r="177">
      <c r="A177" s="16">
        <f>IF($L177="","",174)</f>
        <v/>
      </c>
      <c r="B177" s="16">
        <f>IF($L177="","",IF(INDEX('Schedule'!$A$4:$A$1003,$L177)="","",INDEX('Schedule'!$A$4:$A$1003,$L177)))</f>
        <v/>
      </c>
      <c r="C177" s="16">
        <f>IF($B177="","",IFERROR(INDEX('Cars'!$F$4:$F$103,MATCH($B177,'Cars'!$A$4:$A$103,0))&amp;"",""))</f>
        <v/>
      </c>
      <c r="D177" s="16">
        <f>IF($L177="","",IF(INDEX('Schedule'!$C$4:$C$1003,$L177)="","",INDEX('Schedule'!$C$4:$C$1003,$L177)))</f>
        <v/>
      </c>
      <c r="E177" s="19">
        <f>IF($L177="","",IF(INDEX('Schedule'!$F$4:$F$1003,$L177)="","",INDEX('Schedule'!$F$4:$F$1003,$L177)))</f>
        <v/>
      </c>
      <c r="F177" s="20">
        <f>IF($L177="","",IF(INDEX('Schedule'!$G$4:$G$1003,$L177)="","",INDEX('Schedule'!$G$4:$G$1003,$L177)))</f>
        <v/>
      </c>
      <c r="G177" s="19">
        <f>IF($L177="","",IF(INDEX('Schedule'!$I$4:$I$1003,$L177)="","",INDEX('Schedule'!$I$4:$I$1003,$L177)))</f>
        <v/>
      </c>
      <c r="H177" s="21">
        <f>IF($L177="","",IF(INDEX('Schedule'!$J$4:$J$1003,$L177)="","",INDEX('Schedule'!$J$4:$J$1003,$L177)))</f>
        <v/>
      </c>
      <c r="I177" s="16">
        <f>IF($L177="","",IF(INDEX('Schedule'!$M$4:$M$1003,$L177)="","",INDEX('Schedule'!$M$4:$M$1003,$L177)))</f>
        <v/>
      </c>
      <c r="J177" s="15" t="n"/>
      <c r="K177" s="15" t="n"/>
      <c r="L177">
        <f>IFERROR(MATCH(SMALL('Schedule'!$O$4:$O$1003,174),'Schedule'!$O$4:$O$1003,0),"")</f>
        <v/>
      </c>
    </row>
    <row r="178">
      <c r="A178" s="16">
        <f>IF($L178="","",175)</f>
        <v/>
      </c>
      <c r="B178" s="16">
        <f>IF($L178="","",IF(INDEX('Schedule'!$A$4:$A$1003,$L178)="","",INDEX('Schedule'!$A$4:$A$1003,$L178)))</f>
        <v/>
      </c>
      <c r="C178" s="16">
        <f>IF($B178="","",IFERROR(INDEX('Cars'!$F$4:$F$103,MATCH($B178,'Cars'!$A$4:$A$103,0))&amp;"",""))</f>
        <v/>
      </c>
      <c r="D178" s="16">
        <f>IF($L178="","",IF(INDEX('Schedule'!$C$4:$C$1003,$L178)="","",INDEX('Schedule'!$C$4:$C$1003,$L178)))</f>
        <v/>
      </c>
      <c r="E178" s="19">
        <f>IF($L178="","",IF(INDEX('Schedule'!$F$4:$F$1003,$L178)="","",INDEX('Schedule'!$F$4:$F$1003,$L178)))</f>
        <v/>
      </c>
      <c r="F178" s="20">
        <f>IF($L178="","",IF(INDEX('Schedule'!$G$4:$G$1003,$L178)="","",INDEX('Schedule'!$G$4:$G$1003,$L178)))</f>
        <v/>
      </c>
      <c r="G178" s="19">
        <f>IF($L178="","",IF(INDEX('Schedule'!$I$4:$I$1003,$L178)="","",INDEX('Schedule'!$I$4:$I$1003,$L178)))</f>
        <v/>
      </c>
      <c r="H178" s="21">
        <f>IF($L178="","",IF(INDEX('Schedule'!$J$4:$J$1003,$L178)="","",INDEX('Schedule'!$J$4:$J$1003,$L178)))</f>
        <v/>
      </c>
      <c r="I178" s="16">
        <f>IF($L178="","",IF(INDEX('Schedule'!$M$4:$M$1003,$L178)="","",INDEX('Schedule'!$M$4:$M$1003,$L178)))</f>
        <v/>
      </c>
      <c r="J178" s="15" t="n"/>
      <c r="K178" s="15" t="n"/>
      <c r="L178">
        <f>IFERROR(MATCH(SMALL('Schedule'!$O$4:$O$1003,175),'Schedule'!$O$4:$O$1003,0),"")</f>
        <v/>
      </c>
    </row>
    <row r="179">
      <c r="A179" s="16">
        <f>IF($L179="","",176)</f>
        <v/>
      </c>
      <c r="B179" s="16">
        <f>IF($L179="","",IF(INDEX('Schedule'!$A$4:$A$1003,$L179)="","",INDEX('Schedule'!$A$4:$A$1003,$L179)))</f>
        <v/>
      </c>
      <c r="C179" s="16">
        <f>IF($B179="","",IFERROR(INDEX('Cars'!$F$4:$F$103,MATCH($B179,'Cars'!$A$4:$A$103,0))&amp;"",""))</f>
        <v/>
      </c>
      <c r="D179" s="16">
        <f>IF($L179="","",IF(INDEX('Schedule'!$C$4:$C$1003,$L179)="","",INDEX('Schedule'!$C$4:$C$1003,$L179)))</f>
        <v/>
      </c>
      <c r="E179" s="19">
        <f>IF($L179="","",IF(INDEX('Schedule'!$F$4:$F$1003,$L179)="","",INDEX('Schedule'!$F$4:$F$1003,$L179)))</f>
        <v/>
      </c>
      <c r="F179" s="20">
        <f>IF($L179="","",IF(INDEX('Schedule'!$G$4:$G$1003,$L179)="","",INDEX('Schedule'!$G$4:$G$1003,$L179)))</f>
        <v/>
      </c>
      <c r="G179" s="19">
        <f>IF($L179="","",IF(INDEX('Schedule'!$I$4:$I$1003,$L179)="","",INDEX('Schedule'!$I$4:$I$1003,$L179)))</f>
        <v/>
      </c>
      <c r="H179" s="21">
        <f>IF($L179="","",IF(INDEX('Schedule'!$J$4:$J$1003,$L179)="","",INDEX('Schedule'!$J$4:$J$1003,$L179)))</f>
        <v/>
      </c>
      <c r="I179" s="16">
        <f>IF($L179="","",IF(INDEX('Schedule'!$M$4:$M$1003,$L179)="","",INDEX('Schedule'!$M$4:$M$1003,$L179)))</f>
        <v/>
      </c>
      <c r="J179" s="15" t="n"/>
      <c r="K179" s="15" t="n"/>
      <c r="L179">
        <f>IFERROR(MATCH(SMALL('Schedule'!$O$4:$O$1003,176),'Schedule'!$O$4:$O$1003,0),"")</f>
        <v/>
      </c>
    </row>
    <row r="180">
      <c r="A180" s="16">
        <f>IF($L180="","",177)</f>
        <v/>
      </c>
      <c r="B180" s="16">
        <f>IF($L180="","",IF(INDEX('Schedule'!$A$4:$A$1003,$L180)="","",INDEX('Schedule'!$A$4:$A$1003,$L180)))</f>
        <v/>
      </c>
      <c r="C180" s="16">
        <f>IF($B180="","",IFERROR(INDEX('Cars'!$F$4:$F$103,MATCH($B180,'Cars'!$A$4:$A$103,0))&amp;"",""))</f>
        <v/>
      </c>
      <c r="D180" s="16">
        <f>IF($L180="","",IF(INDEX('Schedule'!$C$4:$C$1003,$L180)="","",INDEX('Schedule'!$C$4:$C$1003,$L180)))</f>
        <v/>
      </c>
      <c r="E180" s="19">
        <f>IF($L180="","",IF(INDEX('Schedule'!$F$4:$F$1003,$L180)="","",INDEX('Schedule'!$F$4:$F$1003,$L180)))</f>
        <v/>
      </c>
      <c r="F180" s="20">
        <f>IF($L180="","",IF(INDEX('Schedule'!$G$4:$G$1003,$L180)="","",INDEX('Schedule'!$G$4:$G$1003,$L180)))</f>
        <v/>
      </c>
      <c r="G180" s="19">
        <f>IF($L180="","",IF(INDEX('Schedule'!$I$4:$I$1003,$L180)="","",INDEX('Schedule'!$I$4:$I$1003,$L180)))</f>
        <v/>
      </c>
      <c r="H180" s="21">
        <f>IF($L180="","",IF(INDEX('Schedule'!$J$4:$J$1003,$L180)="","",INDEX('Schedule'!$J$4:$J$1003,$L180)))</f>
        <v/>
      </c>
      <c r="I180" s="16">
        <f>IF($L180="","",IF(INDEX('Schedule'!$M$4:$M$1003,$L180)="","",INDEX('Schedule'!$M$4:$M$1003,$L180)))</f>
        <v/>
      </c>
      <c r="J180" s="15" t="n"/>
      <c r="K180" s="15" t="n"/>
      <c r="L180">
        <f>IFERROR(MATCH(SMALL('Schedule'!$O$4:$O$1003,177),'Schedule'!$O$4:$O$1003,0),"")</f>
        <v/>
      </c>
    </row>
    <row r="181">
      <c r="A181" s="16">
        <f>IF($L181="","",178)</f>
        <v/>
      </c>
      <c r="B181" s="16">
        <f>IF($L181="","",IF(INDEX('Schedule'!$A$4:$A$1003,$L181)="","",INDEX('Schedule'!$A$4:$A$1003,$L181)))</f>
        <v/>
      </c>
      <c r="C181" s="16">
        <f>IF($B181="","",IFERROR(INDEX('Cars'!$F$4:$F$103,MATCH($B181,'Cars'!$A$4:$A$103,0))&amp;"",""))</f>
        <v/>
      </c>
      <c r="D181" s="16">
        <f>IF($L181="","",IF(INDEX('Schedule'!$C$4:$C$1003,$L181)="","",INDEX('Schedule'!$C$4:$C$1003,$L181)))</f>
        <v/>
      </c>
      <c r="E181" s="19">
        <f>IF($L181="","",IF(INDEX('Schedule'!$F$4:$F$1003,$L181)="","",INDEX('Schedule'!$F$4:$F$1003,$L181)))</f>
        <v/>
      </c>
      <c r="F181" s="20">
        <f>IF($L181="","",IF(INDEX('Schedule'!$G$4:$G$1003,$L181)="","",INDEX('Schedule'!$G$4:$G$1003,$L181)))</f>
        <v/>
      </c>
      <c r="G181" s="19">
        <f>IF($L181="","",IF(INDEX('Schedule'!$I$4:$I$1003,$L181)="","",INDEX('Schedule'!$I$4:$I$1003,$L181)))</f>
        <v/>
      </c>
      <c r="H181" s="21">
        <f>IF($L181="","",IF(INDEX('Schedule'!$J$4:$J$1003,$L181)="","",INDEX('Schedule'!$J$4:$J$1003,$L181)))</f>
        <v/>
      </c>
      <c r="I181" s="16">
        <f>IF($L181="","",IF(INDEX('Schedule'!$M$4:$M$1003,$L181)="","",INDEX('Schedule'!$M$4:$M$1003,$L181)))</f>
        <v/>
      </c>
      <c r="J181" s="15" t="n"/>
      <c r="K181" s="15" t="n"/>
      <c r="L181">
        <f>IFERROR(MATCH(SMALL('Schedule'!$O$4:$O$1003,178),'Schedule'!$O$4:$O$1003,0),"")</f>
        <v/>
      </c>
    </row>
    <row r="182">
      <c r="A182" s="16">
        <f>IF($L182="","",179)</f>
        <v/>
      </c>
      <c r="B182" s="16">
        <f>IF($L182="","",IF(INDEX('Schedule'!$A$4:$A$1003,$L182)="","",INDEX('Schedule'!$A$4:$A$1003,$L182)))</f>
        <v/>
      </c>
      <c r="C182" s="16">
        <f>IF($B182="","",IFERROR(INDEX('Cars'!$F$4:$F$103,MATCH($B182,'Cars'!$A$4:$A$103,0))&amp;"",""))</f>
        <v/>
      </c>
      <c r="D182" s="16">
        <f>IF($L182="","",IF(INDEX('Schedule'!$C$4:$C$1003,$L182)="","",INDEX('Schedule'!$C$4:$C$1003,$L182)))</f>
        <v/>
      </c>
      <c r="E182" s="19">
        <f>IF($L182="","",IF(INDEX('Schedule'!$F$4:$F$1003,$L182)="","",INDEX('Schedule'!$F$4:$F$1003,$L182)))</f>
        <v/>
      </c>
      <c r="F182" s="20">
        <f>IF($L182="","",IF(INDEX('Schedule'!$G$4:$G$1003,$L182)="","",INDEX('Schedule'!$G$4:$G$1003,$L182)))</f>
        <v/>
      </c>
      <c r="G182" s="19">
        <f>IF($L182="","",IF(INDEX('Schedule'!$I$4:$I$1003,$L182)="","",INDEX('Schedule'!$I$4:$I$1003,$L182)))</f>
        <v/>
      </c>
      <c r="H182" s="21">
        <f>IF($L182="","",IF(INDEX('Schedule'!$J$4:$J$1003,$L182)="","",INDEX('Schedule'!$J$4:$J$1003,$L182)))</f>
        <v/>
      </c>
      <c r="I182" s="16">
        <f>IF($L182="","",IF(INDEX('Schedule'!$M$4:$M$1003,$L182)="","",INDEX('Schedule'!$M$4:$M$1003,$L182)))</f>
        <v/>
      </c>
      <c r="J182" s="15" t="n"/>
      <c r="K182" s="15" t="n"/>
      <c r="L182">
        <f>IFERROR(MATCH(SMALL('Schedule'!$O$4:$O$1003,179),'Schedule'!$O$4:$O$1003,0),"")</f>
        <v/>
      </c>
    </row>
    <row r="183">
      <c r="A183" s="16">
        <f>IF($L183="","",180)</f>
        <v/>
      </c>
      <c r="B183" s="16">
        <f>IF($L183="","",IF(INDEX('Schedule'!$A$4:$A$1003,$L183)="","",INDEX('Schedule'!$A$4:$A$1003,$L183)))</f>
        <v/>
      </c>
      <c r="C183" s="16">
        <f>IF($B183="","",IFERROR(INDEX('Cars'!$F$4:$F$103,MATCH($B183,'Cars'!$A$4:$A$103,0))&amp;"",""))</f>
        <v/>
      </c>
      <c r="D183" s="16">
        <f>IF($L183="","",IF(INDEX('Schedule'!$C$4:$C$1003,$L183)="","",INDEX('Schedule'!$C$4:$C$1003,$L183)))</f>
        <v/>
      </c>
      <c r="E183" s="19">
        <f>IF($L183="","",IF(INDEX('Schedule'!$F$4:$F$1003,$L183)="","",INDEX('Schedule'!$F$4:$F$1003,$L183)))</f>
        <v/>
      </c>
      <c r="F183" s="20">
        <f>IF($L183="","",IF(INDEX('Schedule'!$G$4:$G$1003,$L183)="","",INDEX('Schedule'!$G$4:$G$1003,$L183)))</f>
        <v/>
      </c>
      <c r="G183" s="19">
        <f>IF($L183="","",IF(INDEX('Schedule'!$I$4:$I$1003,$L183)="","",INDEX('Schedule'!$I$4:$I$1003,$L183)))</f>
        <v/>
      </c>
      <c r="H183" s="21">
        <f>IF($L183="","",IF(INDEX('Schedule'!$J$4:$J$1003,$L183)="","",INDEX('Schedule'!$J$4:$J$1003,$L183)))</f>
        <v/>
      </c>
      <c r="I183" s="16">
        <f>IF($L183="","",IF(INDEX('Schedule'!$M$4:$M$1003,$L183)="","",INDEX('Schedule'!$M$4:$M$1003,$L183)))</f>
        <v/>
      </c>
      <c r="J183" s="15" t="n"/>
      <c r="K183" s="15" t="n"/>
      <c r="L183">
        <f>IFERROR(MATCH(SMALL('Schedule'!$O$4:$O$1003,180),'Schedule'!$O$4:$O$1003,0),"")</f>
        <v/>
      </c>
    </row>
    <row r="184">
      <c r="A184" s="16">
        <f>IF($L184="","",181)</f>
        <v/>
      </c>
      <c r="B184" s="16">
        <f>IF($L184="","",IF(INDEX('Schedule'!$A$4:$A$1003,$L184)="","",INDEX('Schedule'!$A$4:$A$1003,$L184)))</f>
        <v/>
      </c>
      <c r="C184" s="16">
        <f>IF($B184="","",IFERROR(INDEX('Cars'!$F$4:$F$103,MATCH($B184,'Cars'!$A$4:$A$103,0))&amp;"",""))</f>
        <v/>
      </c>
      <c r="D184" s="16">
        <f>IF($L184="","",IF(INDEX('Schedule'!$C$4:$C$1003,$L184)="","",INDEX('Schedule'!$C$4:$C$1003,$L184)))</f>
        <v/>
      </c>
      <c r="E184" s="19">
        <f>IF($L184="","",IF(INDEX('Schedule'!$F$4:$F$1003,$L184)="","",INDEX('Schedule'!$F$4:$F$1003,$L184)))</f>
        <v/>
      </c>
      <c r="F184" s="20">
        <f>IF($L184="","",IF(INDEX('Schedule'!$G$4:$G$1003,$L184)="","",INDEX('Schedule'!$G$4:$G$1003,$L184)))</f>
        <v/>
      </c>
      <c r="G184" s="19">
        <f>IF($L184="","",IF(INDEX('Schedule'!$I$4:$I$1003,$L184)="","",INDEX('Schedule'!$I$4:$I$1003,$L184)))</f>
        <v/>
      </c>
      <c r="H184" s="21">
        <f>IF($L184="","",IF(INDEX('Schedule'!$J$4:$J$1003,$L184)="","",INDEX('Schedule'!$J$4:$J$1003,$L184)))</f>
        <v/>
      </c>
      <c r="I184" s="16">
        <f>IF($L184="","",IF(INDEX('Schedule'!$M$4:$M$1003,$L184)="","",INDEX('Schedule'!$M$4:$M$1003,$L184)))</f>
        <v/>
      </c>
      <c r="J184" s="15" t="n"/>
      <c r="K184" s="15" t="n"/>
      <c r="L184">
        <f>IFERROR(MATCH(SMALL('Schedule'!$O$4:$O$1003,181),'Schedule'!$O$4:$O$1003,0),"")</f>
        <v/>
      </c>
    </row>
    <row r="185">
      <c r="A185" s="16">
        <f>IF($L185="","",182)</f>
        <v/>
      </c>
      <c r="B185" s="16">
        <f>IF($L185="","",IF(INDEX('Schedule'!$A$4:$A$1003,$L185)="","",INDEX('Schedule'!$A$4:$A$1003,$L185)))</f>
        <v/>
      </c>
      <c r="C185" s="16">
        <f>IF($B185="","",IFERROR(INDEX('Cars'!$F$4:$F$103,MATCH($B185,'Cars'!$A$4:$A$103,0))&amp;"",""))</f>
        <v/>
      </c>
      <c r="D185" s="16">
        <f>IF($L185="","",IF(INDEX('Schedule'!$C$4:$C$1003,$L185)="","",INDEX('Schedule'!$C$4:$C$1003,$L185)))</f>
        <v/>
      </c>
      <c r="E185" s="19">
        <f>IF($L185="","",IF(INDEX('Schedule'!$F$4:$F$1003,$L185)="","",INDEX('Schedule'!$F$4:$F$1003,$L185)))</f>
        <v/>
      </c>
      <c r="F185" s="20">
        <f>IF($L185="","",IF(INDEX('Schedule'!$G$4:$G$1003,$L185)="","",INDEX('Schedule'!$G$4:$G$1003,$L185)))</f>
        <v/>
      </c>
      <c r="G185" s="19">
        <f>IF($L185="","",IF(INDEX('Schedule'!$I$4:$I$1003,$L185)="","",INDEX('Schedule'!$I$4:$I$1003,$L185)))</f>
        <v/>
      </c>
      <c r="H185" s="21">
        <f>IF($L185="","",IF(INDEX('Schedule'!$J$4:$J$1003,$L185)="","",INDEX('Schedule'!$J$4:$J$1003,$L185)))</f>
        <v/>
      </c>
      <c r="I185" s="16">
        <f>IF($L185="","",IF(INDEX('Schedule'!$M$4:$M$1003,$L185)="","",INDEX('Schedule'!$M$4:$M$1003,$L185)))</f>
        <v/>
      </c>
      <c r="J185" s="15" t="n"/>
      <c r="K185" s="15" t="n"/>
      <c r="L185">
        <f>IFERROR(MATCH(SMALL('Schedule'!$O$4:$O$1003,182),'Schedule'!$O$4:$O$1003,0),"")</f>
        <v/>
      </c>
    </row>
    <row r="186">
      <c r="A186" s="16">
        <f>IF($L186="","",183)</f>
        <v/>
      </c>
      <c r="B186" s="16">
        <f>IF($L186="","",IF(INDEX('Schedule'!$A$4:$A$1003,$L186)="","",INDEX('Schedule'!$A$4:$A$1003,$L186)))</f>
        <v/>
      </c>
      <c r="C186" s="16">
        <f>IF($B186="","",IFERROR(INDEX('Cars'!$F$4:$F$103,MATCH($B186,'Cars'!$A$4:$A$103,0))&amp;"",""))</f>
        <v/>
      </c>
      <c r="D186" s="16">
        <f>IF($L186="","",IF(INDEX('Schedule'!$C$4:$C$1003,$L186)="","",INDEX('Schedule'!$C$4:$C$1003,$L186)))</f>
        <v/>
      </c>
      <c r="E186" s="19">
        <f>IF($L186="","",IF(INDEX('Schedule'!$F$4:$F$1003,$L186)="","",INDEX('Schedule'!$F$4:$F$1003,$L186)))</f>
        <v/>
      </c>
      <c r="F186" s="20">
        <f>IF($L186="","",IF(INDEX('Schedule'!$G$4:$G$1003,$L186)="","",INDEX('Schedule'!$G$4:$G$1003,$L186)))</f>
        <v/>
      </c>
      <c r="G186" s="19">
        <f>IF($L186="","",IF(INDEX('Schedule'!$I$4:$I$1003,$L186)="","",INDEX('Schedule'!$I$4:$I$1003,$L186)))</f>
        <v/>
      </c>
      <c r="H186" s="21">
        <f>IF($L186="","",IF(INDEX('Schedule'!$J$4:$J$1003,$L186)="","",INDEX('Schedule'!$J$4:$J$1003,$L186)))</f>
        <v/>
      </c>
      <c r="I186" s="16">
        <f>IF($L186="","",IF(INDEX('Schedule'!$M$4:$M$1003,$L186)="","",INDEX('Schedule'!$M$4:$M$1003,$L186)))</f>
        <v/>
      </c>
      <c r="J186" s="15" t="n"/>
      <c r="K186" s="15" t="n"/>
      <c r="L186">
        <f>IFERROR(MATCH(SMALL('Schedule'!$O$4:$O$1003,183),'Schedule'!$O$4:$O$1003,0),"")</f>
        <v/>
      </c>
    </row>
    <row r="187">
      <c r="A187" s="16">
        <f>IF($L187="","",184)</f>
        <v/>
      </c>
      <c r="B187" s="16">
        <f>IF($L187="","",IF(INDEX('Schedule'!$A$4:$A$1003,$L187)="","",INDEX('Schedule'!$A$4:$A$1003,$L187)))</f>
        <v/>
      </c>
      <c r="C187" s="16">
        <f>IF($B187="","",IFERROR(INDEX('Cars'!$F$4:$F$103,MATCH($B187,'Cars'!$A$4:$A$103,0))&amp;"",""))</f>
        <v/>
      </c>
      <c r="D187" s="16">
        <f>IF($L187="","",IF(INDEX('Schedule'!$C$4:$C$1003,$L187)="","",INDEX('Schedule'!$C$4:$C$1003,$L187)))</f>
        <v/>
      </c>
      <c r="E187" s="19">
        <f>IF($L187="","",IF(INDEX('Schedule'!$F$4:$F$1003,$L187)="","",INDEX('Schedule'!$F$4:$F$1003,$L187)))</f>
        <v/>
      </c>
      <c r="F187" s="20">
        <f>IF($L187="","",IF(INDEX('Schedule'!$G$4:$G$1003,$L187)="","",INDEX('Schedule'!$G$4:$G$1003,$L187)))</f>
        <v/>
      </c>
      <c r="G187" s="19">
        <f>IF($L187="","",IF(INDEX('Schedule'!$I$4:$I$1003,$L187)="","",INDEX('Schedule'!$I$4:$I$1003,$L187)))</f>
        <v/>
      </c>
      <c r="H187" s="21">
        <f>IF($L187="","",IF(INDEX('Schedule'!$J$4:$J$1003,$L187)="","",INDEX('Schedule'!$J$4:$J$1003,$L187)))</f>
        <v/>
      </c>
      <c r="I187" s="16">
        <f>IF($L187="","",IF(INDEX('Schedule'!$M$4:$M$1003,$L187)="","",INDEX('Schedule'!$M$4:$M$1003,$L187)))</f>
        <v/>
      </c>
      <c r="J187" s="15" t="n"/>
      <c r="K187" s="15" t="n"/>
      <c r="L187">
        <f>IFERROR(MATCH(SMALL('Schedule'!$O$4:$O$1003,184),'Schedule'!$O$4:$O$1003,0),"")</f>
        <v/>
      </c>
    </row>
    <row r="188">
      <c r="A188" s="16">
        <f>IF($L188="","",185)</f>
        <v/>
      </c>
      <c r="B188" s="16">
        <f>IF($L188="","",IF(INDEX('Schedule'!$A$4:$A$1003,$L188)="","",INDEX('Schedule'!$A$4:$A$1003,$L188)))</f>
        <v/>
      </c>
      <c r="C188" s="16">
        <f>IF($B188="","",IFERROR(INDEX('Cars'!$F$4:$F$103,MATCH($B188,'Cars'!$A$4:$A$103,0))&amp;"",""))</f>
        <v/>
      </c>
      <c r="D188" s="16">
        <f>IF($L188="","",IF(INDEX('Schedule'!$C$4:$C$1003,$L188)="","",INDEX('Schedule'!$C$4:$C$1003,$L188)))</f>
        <v/>
      </c>
      <c r="E188" s="19">
        <f>IF($L188="","",IF(INDEX('Schedule'!$F$4:$F$1003,$L188)="","",INDEX('Schedule'!$F$4:$F$1003,$L188)))</f>
        <v/>
      </c>
      <c r="F188" s="20">
        <f>IF($L188="","",IF(INDEX('Schedule'!$G$4:$G$1003,$L188)="","",INDEX('Schedule'!$G$4:$G$1003,$L188)))</f>
        <v/>
      </c>
      <c r="G188" s="19">
        <f>IF($L188="","",IF(INDEX('Schedule'!$I$4:$I$1003,$L188)="","",INDEX('Schedule'!$I$4:$I$1003,$L188)))</f>
        <v/>
      </c>
      <c r="H188" s="21">
        <f>IF($L188="","",IF(INDEX('Schedule'!$J$4:$J$1003,$L188)="","",INDEX('Schedule'!$J$4:$J$1003,$L188)))</f>
        <v/>
      </c>
      <c r="I188" s="16">
        <f>IF($L188="","",IF(INDEX('Schedule'!$M$4:$M$1003,$L188)="","",INDEX('Schedule'!$M$4:$M$1003,$L188)))</f>
        <v/>
      </c>
      <c r="J188" s="15" t="n"/>
      <c r="K188" s="15" t="n"/>
      <c r="L188">
        <f>IFERROR(MATCH(SMALL('Schedule'!$O$4:$O$1003,185),'Schedule'!$O$4:$O$1003,0),"")</f>
        <v/>
      </c>
    </row>
    <row r="189">
      <c r="A189" s="16">
        <f>IF($L189="","",186)</f>
        <v/>
      </c>
      <c r="B189" s="16">
        <f>IF($L189="","",IF(INDEX('Schedule'!$A$4:$A$1003,$L189)="","",INDEX('Schedule'!$A$4:$A$1003,$L189)))</f>
        <v/>
      </c>
      <c r="C189" s="16">
        <f>IF($B189="","",IFERROR(INDEX('Cars'!$F$4:$F$103,MATCH($B189,'Cars'!$A$4:$A$103,0))&amp;"",""))</f>
        <v/>
      </c>
      <c r="D189" s="16">
        <f>IF($L189="","",IF(INDEX('Schedule'!$C$4:$C$1003,$L189)="","",INDEX('Schedule'!$C$4:$C$1003,$L189)))</f>
        <v/>
      </c>
      <c r="E189" s="19">
        <f>IF($L189="","",IF(INDEX('Schedule'!$F$4:$F$1003,$L189)="","",INDEX('Schedule'!$F$4:$F$1003,$L189)))</f>
        <v/>
      </c>
      <c r="F189" s="20">
        <f>IF($L189="","",IF(INDEX('Schedule'!$G$4:$G$1003,$L189)="","",INDEX('Schedule'!$G$4:$G$1003,$L189)))</f>
        <v/>
      </c>
      <c r="G189" s="19">
        <f>IF($L189="","",IF(INDEX('Schedule'!$I$4:$I$1003,$L189)="","",INDEX('Schedule'!$I$4:$I$1003,$L189)))</f>
        <v/>
      </c>
      <c r="H189" s="21">
        <f>IF($L189="","",IF(INDEX('Schedule'!$J$4:$J$1003,$L189)="","",INDEX('Schedule'!$J$4:$J$1003,$L189)))</f>
        <v/>
      </c>
      <c r="I189" s="16">
        <f>IF($L189="","",IF(INDEX('Schedule'!$M$4:$M$1003,$L189)="","",INDEX('Schedule'!$M$4:$M$1003,$L189)))</f>
        <v/>
      </c>
      <c r="J189" s="15" t="n"/>
      <c r="K189" s="15" t="n"/>
      <c r="L189">
        <f>IFERROR(MATCH(SMALL('Schedule'!$O$4:$O$1003,186),'Schedule'!$O$4:$O$1003,0),"")</f>
        <v/>
      </c>
    </row>
    <row r="190">
      <c r="A190" s="16">
        <f>IF($L190="","",187)</f>
        <v/>
      </c>
      <c r="B190" s="16">
        <f>IF($L190="","",IF(INDEX('Schedule'!$A$4:$A$1003,$L190)="","",INDEX('Schedule'!$A$4:$A$1003,$L190)))</f>
        <v/>
      </c>
      <c r="C190" s="16">
        <f>IF($B190="","",IFERROR(INDEX('Cars'!$F$4:$F$103,MATCH($B190,'Cars'!$A$4:$A$103,0))&amp;"",""))</f>
        <v/>
      </c>
      <c r="D190" s="16">
        <f>IF($L190="","",IF(INDEX('Schedule'!$C$4:$C$1003,$L190)="","",INDEX('Schedule'!$C$4:$C$1003,$L190)))</f>
        <v/>
      </c>
      <c r="E190" s="19">
        <f>IF($L190="","",IF(INDEX('Schedule'!$F$4:$F$1003,$L190)="","",INDEX('Schedule'!$F$4:$F$1003,$L190)))</f>
        <v/>
      </c>
      <c r="F190" s="20">
        <f>IF($L190="","",IF(INDEX('Schedule'!$G$4:$G$1003,$L190)="","",INDEX('Schedule'!$G$4:$G$1003,$L190)))</f>
        <v/>
      </c>
      <c r="G190" s="19">
        <f>IF($L190="","",IF(INDEX('Schedule'!$I$4:$I$1003,$L190)="","",INDEX('Schedule'!$I$4:$I$1003,$L190)))</f>
        <v/>
      </c>
      <c r="H190" s="21">
        <f>IF($L190="","",IF(INDEX('Schedule'!$J$4:$J$1003,$L190)="","",INDEX('Schedule'!$J$4:$J$1003,$L190)))</f>
        <v/>
      </c>
      <c r="I190" s="16">
        <f>IF($L190="","",IF(INDEX('Schedule'!$M$4:$M$1003,$L190)="","",INDEX('Schedule'!$M$4:$M$1003,$L190)))</f>
        <v/>
      </c>
      <c r="J190" s="15" t="n"/>
      <c r="K190" s="15" t="n"/>
      <c r="L190">
        <f>IFERROR(MATCH(SMALL('Schedule'!$O$4:$O$1003,187),'Schedule'!$O$4:$O$1003,0),"")</f>
        <v/>
      </c>
    </row>
    <row r="191">
      <c r="A191" s="16">
        <f>IF($L191="","",188)</f>
        <v/>
      </c>
      <c r="B191" s="16">
        <f>IF($L191="","",IF(INDEX('Schedule'!$A$4:$A$1003,$L191)="","",INDEX('Schedule'!$A$4:$A$1003,$L191)))</f>
        <v/>
      </c>
      <c r="C191" s="16">
        <f>IF($B191="","",IFERROR(INDEX('Cars'!$F$4:$F$103,MATCH($B191,'Cars'!$A$4:$A$103,0))&amp;"",""))</f>
        <v/>
      </c>
      <c r="D191" s="16">
        <f>IF($L191="","",IF(INDEX('Schedule'!$C$4:$C$1003,$L191)="","",INDEX('Schedule'!$C$4:$C$1003,$L191)))</f>
        <v/>
      </c>
      <c r="E191" s="19">
        <f>IF($L191="","",IF(INDEX('Schedule'!$F$4:$F$1003,$L191)="","",INDEX('Schedule'!$F$4:$F$1003,$L191)))</f>
        <v/>
      </c>
      <c r="F191" s="20">
        <f>IF($L191="","",IF(INDEX('Schedule'!$G$4:$G$1003,$L191)="","",INDEX('Schedule'!$G$4:$G$1003,$L191)))</f>
        <v/>
      </c>
      <c r="G191" s="19">
        <f>IF($L191="","",IF(INDEX('Schedule'!$I$4:$I$1003,$L191)="","",INDEX('Schedule'!$I$4:$I$1003,$L191)))</f>
        <v/>
      </c>
      <c r="H191" s="21">
        <f>IF($L191="","",IF(INDEX('Schedule'!$J$4:$J$1003,$L191)="","",INDEX('Schedule'!$J$4:$J$1003,$L191)))</f>
        <v/>
      </c>
      <c r="I191" s="16">
        <f>IF($L191="","",IF(INDEX('Schedule'!$M$4:$M$1003,$L191)="","",INDEX('Schedule'!$M$4:$M$1003,$L191)))</f>
        <v/>
      </c>
      <c r="J191" s="15" t="n"/>
      <c r="K191" s="15" t="n"/>
      <c r="L191">
        <f>IFERROR(MATCH(SMALL('Schedule'!$O$4:$O$1003,188),'Schedule'!$O$4:$O$1003,0),"")</f>
        <v/>
      </c>
    </row>
    <row r="192">
      <c r="A192" s="16">
        <f>IF($L192="","",189)</f>
        <v/>
      </c>
      <c r="B192" s="16">
        <f>IF($L192="","",IF(INDEX('Schedule'!$A$4:$A$1003,$L192)="","",INDEX('Schedule'!$A$4:$A$1003,$L192)))</f>
        <v/>
      </c>
      <c r="C192" s="16">
        <f>IF($B192="","",IFERROR(INDEX('Cars'!$F$4:$F$103,MATCH($B192,'Cars'!$A$4:$A$103,0))&amp;"",""))</f>
        <v/>
      </c>
      <c r="D192" s="16">
        <f>IF($L192="","",IF(INDEX('Schedule'!$C$4:$C$1003,$L192)="","",INDEX('Schedule'!$C$4:$C$1003,$L192)))</f>
        <v/>
      </c>
      <c r="E192" s="19">
        <f>IF($L192="","",IF(INDEX('Schedule'!$F$4:$F$1003,$L192)="","",INDEX('Schedule'!$F$4:$F$1003,$L192)))</f>
        <v/>
      </c>
      <c r="F192" s="20">
        <f>IF($L192="","",IF(INDEX('Schedule'!$G$4:$G$1003,$L192)="","",INDEX('Schedule'!$G$4:$G$1003,$L192)))</f>
        <v/>
      </c>
      <c r="G192" s="19">
        <f>IF($L192="","",IF(INDEX('Schedule'!$I$4:$I$1003,$L192)="","",INDEX('Schedule'!$I$4:$I$1003,$L192)))</f>
        <v/>
      </c>
      <c r="H192" s="21">
        <f>IF($L192="","",IF(INDEX('Schedule'!$J$4:$J$1003,$L192)="","",INDEX('Schedule'!$J$4:$J$1003,$L192)))</f>
        <v/>
      </c>
      <c r="I192" s="16">
        <f>IF($L192="","",IF(INDEX('Schedule'!$M$4:$M$1003,$L192)="","",INDEX('Schedule'!$M$4:$M$1003,$L192)))</f>
        <v/>
      </c>
      <c r="J192" s="15" t="n"/>
      <c r="K192" s="15" t="n"/>
      <c r="L192">
        <f>IFERROR(MATCH(SMALL('Schedule'!$O$4:$O$1003,189),'Schedule'!$O$4:$O$1003,0),"")</f>
        <v/>
      </c>
    </row>
    <row r="193">
      <c r="A193" s="16">
        <f>IF($L193="","",190)</f>
        <v/>
      </c>
      <c r="B193" s="16">
        <f>IF($L193="","",IF(INDEX('Schedule'!$A$4:$A$1003,$L193)="","",INDEX('Schedule'!$A$4:$A$1003,$L193)))</f>
        <v/>
      </c>
      <c r="C193" s="16">
        <f>IF($B193="","",IFERROR(INDEX('Cars'!$F$4:$F$103,MATCH($B193,'Cars'!$A$4:$A$103,0))&amp;"",""))</f>
        <v/>
      </c>
      <c r="D193" s="16">
        <f>IF($L193="","",IF(INDEX('Schedule'!$C$4:$C$1003,$L193)="","",INDEX('Schedule'!$C$4:$C$1003,$L193)))</f>
        <v/>
      </c>
      <c r="E193" s="19">
        <f>IF($L193="","",IF(INDEX('Schedule'!$F$4:$F$1003,$L193)="","",INDEX('Schedule'!$F$4:$F$1003,$L193)))</f>
        <v/>
      </c>
      <c r="F193" s="20">
        <f>IF($L193="","",IF(INDEX('Schedule'!$G$4:$G$1003,$L193)="","",INDEX('Schedule'!$G$4:$G$1003,$L193)))</f>
        <v/>
      </c>
      <c r="G193" s="19">
        <f>IF($L193="","",IF(INDEX('Schedule'!$I$4:$I$1003,$L193)="","",INDEX('Schedule'!$I$4:$I$1003,$L193)))</f>
        <v/>
      </c>
      <c r="H193" s="21">
        <f>IF($L193="","",IF(INDEX('Schedule'!$J$4:$J$1003,$L193)="","",INDEX('Schedule'!$J$4:$J$1003,$L193)))</f>
        <v/>
      </c>
      <c r="I193" s="16">
        <f>IF($L193="","",IF(INDEX('Schedule'!$M$4:$M$1003,$L193)="","",INDEX('Schedule'!$M$4:$M$1003,$L193)))</f>
        <v/>
      </c>
      <c r="J193" s="15" t="n"/>
      <c r="K193" s="15" t="n"/>
      <c r="L193">
        <f>IFERROR(MATCH(SMALL('Schedule'!$O$4:$O$1003,190),'Schedule'!$O$4:$O$1003,0),"")</f>
        <v/>
      </c>
    </row>
    <row r="194">
      <c r="A194" s="16">
        <f>IF($L194="","",191)</f>
        <v/>
      </c>
      <c r="B194" s="16">
        <f>IF($L194="","",IF(INDEX('Schedule'!$A$4:$A$1003,$L194)="","",INDEX('Schedule'!$A$4:$A$1003,$L194)))</f>
        <v/>
      </c>
      <c r="C194" s="16">
        <f>IF($B194="","",IFERROR(INDEX('Cars'!$F$4:$F$103,MATCH($B194,'Cars'!$A$4:$A$103,0))&amp;"",""))</f>
        <v/>
      </c>
      <c r="D194" s="16">
        <f>IF($L194="","",IF(INDEX('Schedule'!$C$4:$C$1003,$L194)="","",INDEX('Schedule'!$C$4:$C$1003,$L194)))</f>
        <v/>
      </c>
      <c r="E194" s="19">
        <f>IF($L194="","",IF(INDEX('Schedule'!$F$4:$F$1003,$L194)="","",INDEX('Schedule'!$F$4:$F$1003,$L194)))</f>
        <v/>
      </c>
      <c r="F194" s="20">
        <f>IF($L194="","",IF(INDEX('Schedule'!$G$4:$G$1003,$L194)="","",INDEX('Schedule'!$G$4:$G$1003,$L194)))</f>
        <v/>
      </c>
      <c r="G194" s="19">
        <f>IF($L194="","",IF(INDEX('Schedule'!$I$4:$I$1003,$L194)="","",INDEX('Schedule'!$I$4:$I$1003,$L194)))</f>
        <v/>
      </c>
      <c r="H194" s="21">
        <f>IF($L194="","",IF(INDEX('Schedule'!$J$4:$J$1003,$L194)="","",INDEX('Schedule'!$J$4:$J$1003,$L194)))</f>
        <v/>
      </c>
      <c r="I194" s="16">
        <f>IF($L194="","",IF(INDEX('Schedule'!$M$4:$M$1003,$L194)="","",INDEX('Schedule'!$M$4:$M$1003,$L194)))</f>
        <v/>
      </c>
      <c r="J194" s="15" t="n"/>
      <c r="K194" s="15" t="n"/>
      <c r="L194">
        <f>IFERROR(MATCH(SMALL('Schedule'!$O$4:$O$1003,191),'Schedule'!$O$4:$O$1003,0),"")</f>
        <v/>
      </c>
    </row>
    <row r="195">
      <c r="A195" s="16">
        <f>IF($L195="","",192)</f>
        <v/>
      </c>
      <c r="B195" s="16">
        <f>IF($L195="","",IF(INDEX('Schedule'!$A$4:$A$1003,$L195)="","",INDEX('Schedule'!$A$4:$A$1003,$L195)))</f>
        <v/>
      </c>
      <c r="C195" s="16">
        <f>IF($B195="","",IFERROR(INDEX('Cars'!$F$4:$F$103,MATCH($B195,'Cars'!$A$4:$A$103,0))&amp;"",""))</f>
        <v/>
      </c>
      <c r="D195" s="16">
        <f>IF($L195="","",IF(INDEX('Schedule'!$C$4:$C$1003,$L195)="","",INDEX('Schedule'!$C$4:$C$1003,$L195)))</f>
        <v/>
      </c>
      <c r="E195" s="19">
        <f>IF($L195="","",IF(INDEX('Schedule'!$F$4:$F$1003,$L195)="","",INDEX('Schedule'!$F$4:$F$1003,$L195)))</f>
        <v/>
      </c>
      <c r="F195" s="20">
        <f>IF($L195="","",IF(INDEX('Schedule'!$G$4:$G$1003,$L195)="","",INDEX('Schedule'!$G$4:$G$1003,$L195)))</f>
        <v/>
      </c>
      <c r="G195" s="19">
        <f>IF($L195="","",IF(INDEX('Schedule'!$I$4:$I$1003,$L195)="","",INDEX('Schedule'!$I$4:$I$1003,$L195)))</f>
        <v/>
      </c>
      <c r="H195" s="21">
        <f>IF($L195="","",IF(INDEX('Schedule'!$J$4:$J$1003,$L195)="","",INDEX('Schedule'!$J$4:$J$1003,$L195)))</f>
        <v/>
      </c>
      <c r="I195" s="16">
        <f>IF($L195="","",IF(INDEX('Schedule'!$M$4:$M$1003,$L195)="","",INDEX('Schedule'!$M$4:$M$1003,$L195)))</f>
        <v/>
      </c>
      <c r="J195" s="15" t="n"/>
      <c r="K195" s="15" t="n"/>
      <c r="L195">
        <f>IFERROR(MATCH(SMALL('Schedule'!$O$4:$O$1003,192),'Schedule'!$O$4:$O$1003,0),"")</f>
        <v/>
      </c>
    </row>
    <row r="196">
      <c r="A196" s="16">
        <f>IF($L196="","",193)</f>
        <v/>
      </c>
      <c r="B196" s="16">
        <f>IF($L196="","",IF(INDEX('Schedule'!$A$4:$A$1003,$L196)="","",INDEX('Schedule'!$A$4:$A$1003,$L196)))</f>
        <v/>
      </c>
      <c r="C196" s="16">
        <f>IF($B196="","",IFERROR(INDEX('Cars'!$F$4:$F$103,MATCH($B196,'Cars'!$A$4:$A$103,0))&amp;"",""))</f>
        <v/>
      </c>
      <c r="D196" s="16">
        <f>IF($L196="","",IF(INDEX('Schedule'!$C$4:$C$1003,$L196)="","",INDEX('Schedule'!$C$4:$C$1003,$L196)))</f>
        <v/>
      </c>
      <c r="E196" s="19">
        <f>IF($L196="","",IF(INDEX('Schedule'!$F$4:$F$1003,$L196)="","",INDEX('Schedule'!$F$4:$F$1003,$L196)))</f>
        <v/>
      </c>
      <c r="F196" s="20">
        <f>IF($L196="","",IF(INDEX('Schedule'!$G$4:$G$1003,$L196)="","",INDEX('Schedule'!$G$4:$G$1003,$L196)))</f>
        <v/>
      </c>
      <c r="G196" s="19">
        <f>IF($L196="","",IF(INDEX('Schedule'!$I$4:$I$1003,$L196)="","",INDEX('Schedule'!$I$4:$I$1003,$L196)))</f>
        <v/>
      </c>
      <c r="H196" s="21">
        <f>IF($L196="","",IF(INDEX('Schedule'!$J$4:$J$1003,$L196)="","",INDEX('Schedule'!$J$4:$J$1003,$L196)))</f>
        <v/>
      </c>
      <c r="I196" s="16">
        <f>IF($L196="","",IF(INDEX('Schedule'!$M$4:$M$1003,$L196)="","",INDEX('Schedule'!$M$4:$M$1003,$L196)))</f>
        <v/>
      </c>
      <c r="J196" s="15" t="n"/>
      <c r="K196" s="15" t="n"/>
      <c r="L196">
        <f>IFERROR(MATCH(SMALL('Schedule'!$O$4:$O$1003,193),'Schedule'!$O$4:$O$1003,0),"")</f>
        <v/>
      </c>
    </row>
    <row r="197">
      <c r="A197" s="16">
        <f>IF($L197="","",194)</f>
        <v/>
      </c>
      <c r="B197" s="16">
        <f>IF($L197="","",IF(INDEX('Schedule'!$A$4:$A$1003,$L197)="","",INDEX('Schedule'!$A$4:$A$1003,$L197)))</f>
        <v/>
      </c>
      <c r="C197" s="16">
        <f>IF($B197="","",IFERROR(INDEX('Cars'!$F$4:$F$103,MATCH($B197,'Cars'!$A$4:$A$103,0))&amp;"",""))</f>
        <v/>
      </c>
      <c r="D197" s="16">
        <f>IF($L197="","",IF(INDEX('Schedule'!$C$4:$C$1003,$L197)="","",INDEX('Schedule'!$C$4:$C$1003,$L197)))</f>
        <v/>
      </c>
      <c r="E197" s="19">
        <f>IF($L197="","",IF(INDEX('Schedule'!$F$4:$F$1003,$L197)="","",INDEX('Schedule'!$F$4:$F$1003,$L197)))</f>
        <v/>
      </c>
      <c r="F197" s="20">
        <f>IF($L197="","",IF(INDEX('Schedule'!$G$4:$G$1003,$L197)="","",INDEX('Schedule'!$G$4:$G$1003,$L197)))</f>
        <v/>
      </c>
      <c r="G197" s="19">
        <f>IF($L197="","",IF(INDEX('Schedule'!$I$4:$I$1003,$L197)="","",INDEX('Schedule'!$I$4:$I$1003,$L197)))</f>
        <v/>
      </c>
      <c r="H197" s="21">
        <f>IF($L197="","",IF(INDEX('Schedule'!$J$4:$J$1003,$L197)="","",INDEX('Schedule'!$J$4:$J$1003,$L197)))</f>
        <v/>
      </c>
      <c r="I197" s="16">
        <f>IF($L197="","",IF(INDEX('Schedule'!$M$4:$M$1003,$L197)="","",INDEX('Schedule'!$M$4:$M$1003,$L197)))</f>
        <v/>
      </c>
      <c r="J197" s="15" t="n"/>
      <c r="K197" s="15" t="n"/>
      <c r="L197">
        <f>IFERROR(MATCH(SMALL('Schedule'!$O$4:$O$1003,194),'Schedule'!$O$4:$O$1003,0),"")</f>
        <v/>
      </c>
    </row>
    <row r="198">
      <c r="A198" s="16">
        <f>IF($L198="","",195)</f>
        <v/>
      </c>
      <c r="B198" s="16">
        <f>IF($L198="","",IF(INDEX('Schedule'!$A$4:$A$1003,$L198)="","",INDEX('Schedule'!$A$4:$A$1003,$L198)))</f>
        <v/>
      </c>
      <c r="C198" s="16">
        <f>IF($B198="","",IFERROR(INDEX('Cars'!$F$4:$F$103,MATCH($B198,'Cars'!$A$4:$A$103,0))&amp;"",""))</f>
        <v/>
      </c>
      <c r="D198" s="16">
        <f>IF($L198="","",IF(INDEX('Schedule'!$C$4:$C$1003,$L198)="","",INDEX('Schedule'!$C$4:$C$1003,$L198)))</f>
        <v/>
      </c>
      <c r="E198" s="19">
        <f>IF($L198="","",IF(INDEX('Schedule'!$F$4:$F$1003,$L198)="","",INDEX('Schedule'!$F$4:$F$1003,$L198)))</f>
        <v/>
      </c>
      <c r="F198" s="20">
        <f>IF($L198="","",IF(INDEX('Schedule'!$G$4:$G$1003,$L198)="","",INDEX('Schedule'!$G$4:$G$1003,$L198)))</f>
        <v/>
      </c>
      <c r="G198" s="19">
        <f>IF($L198="","",IF(INDEX('Schedule'!$I$4:$I$1003,$L198)="","",INDEX('Schedule'!$I$4:$I$1003,$L198)))</f>
        <v/>
      </c>
      <c r="H198" s="21">
        <f>IF($L198="","",IF(INDEX('Schedule'!$J$4:$J$1003,$L198)="","",INDEX('Schedule'!$J$4:$J$1003,$L198)))</f>
        <v/>
      </c>
      <c r="I198" s="16">
        <f>IF($L198="","",IF(INDEX('Schedule'!$M$4:$M$1003,$L198)="","",INDEX('Schedule'!$M$4:$M$1003,$L198)))</f>
        <v/>
      </c>
      <c r="J198" s="15" t="n"/>
      <c r="K198" s="15" t="n"/>
      <c r="L198">
        <f>IFERROR(MATCH(SMALL('Schedule'!$O$4:$O$1003,195),'Schedule'!$O$4:$O$1003,0),"")</f>
        <v/>
      </c>
    </row>
    <row r="199">
      <c r="A199" s="16">
        <f>IF($L199="","",196)</f>
        <v/>
      </c>
      <c r="B199" s="16">
        <f>IF($L199="","",IF(INDEX('Schedule'!$A$4:$A$1003,$L199)="","",INDEX('Schedule'!$A$4:$A$1003,$L199)))</f>
        <v/>
      </c>
      <c r="C199" s="16">
        <f>IF($B199="","",IFERROR(INDEX('Cars'!$F$4:$F$103,MATCH($B199,'Cars'!$A$4:$A$103,0))&amp;"",""))</f>
        <v/>
      </c>
      <c r="D199" s="16">
        <f>IF($L199="","",IF(INDEX('Schedule'!$C$4:$C$1003,$L199)="","",INDEX('Schedule'!$C$4:$C$1003,$L199)))</f>
        <v/>
      </c>
      <c r="E199" s="19">
        <f>IF($L199="","",IF(INDEX('Schedule'!$F$4:$F$1003,$L199)="","",INDEX('Schedule'!$F$4:$F$1003,$L199)))</f>
        <v/>
      </c>
      <c r="F199" s="20">
        <f>IF($L199="","",IF(INDEX('Schedule'!$G$4:$G$1003,$L199)="","",INDEX('Schedule'!$G$4:$G$1003,$L199)))</f>
        <v/>
      </c>
      <c r="G199" s="19">
        <f>IF($L199="","",IF(INDEX('Schedule'!$I$4:$I$1003,$L199)="","",INDEX('Schedule'!$I$4:$I$1003,$L199)))</f>
        <v/>
      </c>
      <c r="H199" s="21">
        <f>IF($L199="","",IF(INDEX('Schedule'!$J$4:$J$1003,$L199)="","",INDEX('Schedule'!$J$4:$J$1003,$L199)))</f>
        <v/>
      </c>
      <c r="I199" s="16">
        <f>IF($L199="","",IF(INDEX('Schedule'!$M$4:$M$1003,$L199)="","",INDEX('Schedule'!$M$4:$M$1003,$L199)))</f>
        <v/>
      </c>
      <c r="J199" s="15" t="n"/>
      <c r="K199" s="15" t="n"/>
      <c r="L199">
        <f>IFERROR(MATCH(SMALL('Schedule'!$O$4:$O$1003,196),'Schedule'!$O$4:$O$1003,0),"")</f>
        <v/>
      </c>
    </row>
    <row r="200">
      <c r="A200" s="16">
        <f>IF($L200="","",197)</f>
        <v/>
      </c>
      <c r="B200" s="16">
        <f>IF($L200="","",IF(INDEX('Schedule'!$A$4:$A$1003,$L200)="","",INDEX('Schedule'!$A$4:$A$1003,$L200)))</f>
        <v/>
      </c>
      <c r="C200" s="16">
        <f>IF($B200="","",IFERROR(INDEX('Cars'!$F$4:$F$103,MATCH($B200,'Cars'!$A$4:$A$103,0))&amp;"",""))</f>
        <v/>
      </c>
      <c r="D200" s="16">
        <f>IF($L200="","",IF(INDEX('Schedule'!$C$4:$C$1003,$L200)="","",INDEX('Schedule'!$C$4:$C$1003,$L200)))</f>
        <v/>
      </c>
      <c r="E200" s="19">
        <f>IF($L200="","",IF(INDEX('Schedule'!$F$4:$F$1003,$L200)="","",INDEX('Schedule'!$F$4:$F$1003,$L200)))</f>
        <v/>
      </c>
      <c r="F200" s="20">
        <f>IF($L200="","",IF(INDEX('Schedule'!$G$4:$G$1003,$L200)="","",INDEX('Schedule'!$G$4:$G$1003,$L200)))</f>
        <v/>
      </c>
      <c r="G200" s="19">
        <f>IF($L200="","",IF(INDEX('Schedule'!$I$4:$I$1003,$L200)="","",INDEX('Schedule'!$I$4:$I$1003,$L200)))</f>
        <v/>
      </c>
      <c r="H200" s="21">
        <f>IF($L200="","",IF(INDEX('Schedule'!$J$4:$J$1003,$L200)="","",INDEX('Schedule'!$J$4:$J$1003,$L200)))</f>
        <v/>
      </c>
      <c r="I200" s="16">
        <f>IF($L200="","",IF(INDEX('Schedule'!$M$4:$M$1003,$L200)="","",INDEX('Schedule'!$M$4:$M$1003,$L200)))</f>
        <v/>
      </c>
      <c r="J200" s="15" t="n"/>
      <c r="K200" s="15" t="n"/>
      <c r="L200">
        <f>IFERROR(MATCH(SMALL('Schedule'!$O$4:$O$1003,197),'Schedule'!$O$4:$O$1003,0),"")</f>
        <v/>
      </c>
    </row>
    <row r="201">
      <c r="A201" s="16">
        <f>IF($L201="","",198)</f>
        <v/>
      </c>
      <c r="B201" s="16">
        <f>IF($L201="","",IF(INDEX('Schedule'!$A$4:$A$1003,$L201)="","",INDEX('Schedule'!$A$4:$A$1003,$L201)))</f>
        <v/>
      </c>
      <c r="C201" s="16">
        <f>IF($B201="","",IFERROR(INDEX('Cars'!$F$4:$F$103,MATCH($B201,'Cars'!$A$4:$A$103,0))&amp;"",""))</f>
        <v/>
      </c>
      <c r="D201" s="16">
        <f>IF($L201="","",IF(INDEX('Schedule'!$C$4:$C$1003,$L201)="","",INDEX('Schedule'!$C$4:$C$1003,$L201)))</f>
        <v/>
      </c>
      <c r="E201" s="19">
        <f>IF($L201="","",IF(INDEX('Schedule'!$F$4:$F$1003,$L201)="","",INDEX('Schedule'!$F$4:$F$1003,$L201)))</f>
        <v/>
      </c>
      <c r="F201" s="20">
        <f>IF($L201="","",IF(INDEX('Schedule'!$G$4:$G$1003,$L201)="","",INDEX('Schedule'!$G$4:$G$1003,$L201)))</f>
        <v/>
      </c>
      <c r="G201" s="19">
        <f>IF($L201="","",IF(INDEX('Schedule'!$I$4:$I$1003,$L201)="","",INDEX('Schedule'!$I$4:$I$1003,$L201)))</f>
        <v/>
      </c>
      <c r="H201" s="21">
        <f>IF($L201="","",IF(INDEX('Schedule'!$J$4:$J$1003,$L201)="","",INDEX('Schedule'!$J$4:$J$1003,$L201)))</f>
        <v/>
      </c>
      <c r="I201" s="16">
        <f>IF($L201="","",IF(INDEX('Schedule'!$M$4:$M$1003,$L201)="","",INDEX('Schedule'!$M$4:$M$1003,$L201)))</f>
        <v/>
      </c>
      <c r="J201" s="15" t="n"/>
      <c r="K201" s="15" t="n"/>
      <c r="L201">
        <f>IFERROR(MATCH(SMALL('Schedule'!$O$4:$O$1003,198),'Schedule'!$O$4:$O$1003,0),"")</f>
        <v/>
      </c>
    </row>
    <row r="202">
      <c r="A202" s="16">
        <f>IF($L202="","",199)</f>
        <v/>
      </c>
      <c r="B202" s="16">
        <f>IF($L202="","",IF(INDEX('Schedule'!$A$4:$A$1003,$L202)="","",INDEX('Schedule'!$A$4:$A$1003,$L202)))</f>
        <v/>
      </c>
      <c r="C202" s="16">
        <f>IF($B202="","",IFERROR(INDEX('Cars'!$F$4:$F$103,MATCH($B202,'Cars'!$A$4:$A$103,0))&amp;"",""))</f>
        <v/>
      </c>
      <c r="D202" s="16">
        <f>IF($L202="","",IF(INDEX('Schedule'!$C$4:$C$1003,$L202)="","",INDEX('Schedule'!$C$4:$C$1003,$L202)))</f>
        <v/>
      </c>
      <c r="E202" s="19">
        <f>IF($L202="","",IF(INDEX('Schedule'!$F$4:$F$1003,$L202)="","",INDEX('Schedule'!$F$4:$F$1003,$L202)))</f>
        <v/>
      </c>
      <c r="F202" s="20">
        <f>IF($L202="","",IF(INDEX('Schedule'!$G$4:$G$1003,$L202)="","",INDEX('Schedule'!$G$4:$G$1003,$L202)))</f>
        <v/>
      </c>
      <c r="G202" s="19">
        <f>IF($L202="","",IF(INDEX('Schedule'!$I$4:$I$1003,$L202)="","",INDEX('Schedule'!$I$4:$I$1003,$L202)))</f>
        <v/>
      </c>
      <c r="H202" s="21">
        <f>IF($L202="","",IF(INDEX('Schedule'!$J$4:$J$1003,$L202)="","",INDEX('Schedule'!$J$4:$J$1003,$L202)))</f>
        <v/>
      </c>
      <c r="I202" s="16">
        <f>IF($L202="","",IF(INDEX('Schedule'!$M$4:$M$1003,$L202)="","",INDEX('Schedule'!$M$4:$M$1003,$L202)))</f>
        <v/>
      </c>
      <c r="J202" s="15" t="n"/>
      <c r="K202" s="15" t="n"/>
      <c r="L202">
        <f>IFERROR(MATCH(SMALL('Schedule'!$O$4:$O$1003,199),'Schedule'!$O$4:$O$1003,0),"")</f>
        <v/>
      </c>
    </row>
    <row r="203">
      <c r="A203" s="16">
        <f>IF($L203="","",200)</f>
        <v/>
      </c>
      <c r="B203" s="16">
        <f>IF($L203="","",IF(INDEX('Schedule'!$A$4:$A$1003,$L203)="","",INDEX('Schedule'!$A$4:$A$1003,$L203)))</f>
        <v/>
      </c>
      <c r="C203" s="16">
        <f>IF($B203="","",IFERROR(INDEX('Cars'!$F$4:$F$103,MATCH($B203,'Cars'!$A$4:$A$103,0))&amp;"",""))</f>
        <v/>
      </c>
      <c r="D203" s="16">
        <f>IF($L203="","",IF(INDEX('Schedule'!$C$4:$C$1003,$L203)="","",INDEX('Schedule'!$C$4:$C$1003,$L203)))</f>
        <v/>
      </c>
      <c r="E203" s="19">
        <f>IF($L203="","",IF(INDEX('Schedule'!$F$4:$F$1003,$L203)="","",INDEX('Schedule'!$F$4:$F$1003,$L203)))</f>
        <v/>
      </c>
      <c r="F203" s="20">
        <f>IF($L203="","",IF(INDEX('Schedule'!$G$4:$G$1003,$L203)="","",INDEX('Schedule'!$G$4:$G$1003,$L203)))</f>
        <v/>
      </c>
      <c r="G203" s="19">
        <f>IF($L203="","",IF(INDEX('Schedule'!$I$4:$I$1003,$L203)="","",INDEX('Schedule'!$I$4:$I$1003,$L203)))</f>
        <v/>
      </c>
      <c r="H203" s="21">
        <f>IF($L203="","",IF(INDEX('Schedule'!$J$4:$J$1003,$L203)="","",INDEX('Schedule'!$J$4:$J$1003,$L203)))</f>
        <v/>
      </c>
      <c r="I203" s="16">
        <f>IF($L203="","",IF(INDEX('Schedule'!$M$4:$M$1003,$L203)="","",INDEX('Schedule'!$M$4:$M$1003,$L203)))</f>
        <v/>
      </c>
      <c r="J203" s="15" t="n"/>
      <c r="K203" s="15" t="n"/>
      <c r="L203">
        <f>IFERROR(MATCH(SMALL('Schedule'!$O$4:$O$1003,200),'Schedule'!$O$4:$O$1003,0),"")</f>
        <v/>
      </c>
    </row>
  </sheetData>
  <mergeCells count="1">
    <mergeCell ref="A2:K2"/>
  </mergeCells>
  <conditionalFormatting sqref="A4:K203">
    <cfRule type="expression" priority="1" dxfId="0">
      <formula>$I4="Overdue"</formula>
    </cfRule>
    <cfRule type="expression" priority="2" dxfId="2">
      <formula>$I4="Due soon"</formula>
    </cfRule>
  </conditionalFormatting>
  <printOptions horizontalCentered="1"/>
  <pageMargins left="0.5" right="0.5" top="0.6" bottom="0.7" header="0.5" footer="0.5"/>
  <pageSetup orientation="landscape" paperSize="9" fitToHeight="0" fitToWidth="1"/>
  <headerFooter>
    <oddHeader/>
    <oddFooter>&amp;C&amp;"Arial"&amp;8 From Sayarti+ — sayartiplus.com · Not affiliated with any government entity&amp;R&amp;8 &amp;P /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J103"/>
  <sheetViews>
    <sheetView showGridLines="0" rightToLeft="0" tabSelected="0" zoomScale="110" workbookViewId="0">
      <pane xSplit="1" ySplit="3" topLeftCell="B4" activePane="bottomRight" state="frozen"/>
      <selection pane="topRight"/>
      <selection pane="bottomLeft"/>
      <selection pane="bottomRight" activeCell="A1" sqref="A1"/>
    </sheetView>
  </sheetViews>
  <sheetFormatPr baseColWidth="8" defaultRowHeight="15"/>
  <cols>
    <col width="11" customWidth="1" min="1" max="1"/>
    <col width="18" customWidth="1" min="2" max="2"/>
    <col width="15" customWidth="1" min="3" max="3"/>
    <col width="13" customWidth="1" min="4" max="4"/>
    <col width="9" customWidth="1" min="5" max="5"/>
    <col width="14" customWidth="1" min="6" max="6"/>
    <col width="12" customWidth="1" min="7" max="7"/>
    <col width="14" customWidth="1" min="8" max="8"/>
    <col width="14" customWidth="1" min="9" max="9"/>
    <col width="16" customWidth="1" min="10" max="10"/>
  </cols>
  <sheetData>
    <row r="1" ht="30" customHeight="1">
      <c r="A1" s="1" t="inlineStr">
        <is>
          <t>Fleet maintenance schedule · Cars</t>
        </is>
      </c>
      <c r="B1" s="2" t="n"/>
      <c r="C1" s="2" t="n"/>
      <c r="D1" s="2" t="n"/>
      <c r="E1" s="2" t="n"/>
      <c r="F1" s="2" t="n"/>
      <c r="G1" s="2" t="n"/>
      <c r="H1" s="2" t="n"/>
      <c r="I1" s="2" t="n"/>
      <c r="J1" s="3" t="inlineStr">
        <is>
          <t>From Sayarti+ — sayartiplus.com</t>
        </is>
      </c>
    </row>
    <row r="2" ht="30" customHeight="1">
      <c r="A2" s="4" t="inlineStr">
        <is>
          <t>Update “Current odometer” weekly (or at every fill-up); km-based due dates come from it. Don't add national ID or Iqama numbers; the plate is enough.</t>
        </is>
      </c>
    </row>
    <row r="3" ht="34" customHeight="1">
      <c r="A3" s="5" t="inlineStr">
        <is>
          <t>Car ID</t>
        </is>
      </c>
      <c r="B3" s="5" t="inlineStr">
        <is>
          <t>Name</t>
        </is>
      </c>
      <c r="C3" s="5" t="inlineStr">
        <is>
          <t>Make</t>
        </is>
      </c>
      <c r="D3" s="5" t="inlineStr">
        <is>
          <t>Model</t>
        </is>
      </c>
      <c r="E3" s="5" t="inlineStr">
        <is>
          <t>Year</t>
        </is>
      </c>
      <c r="F3" s="5" t="inlineStr">
        <is>
          <t>Plate</t>
        </is>
      </c>
      <c r="G3" s="5" t="inlineStr">
        <is>
          <t>Fuel type</t>
        </is>
      </c>
      <c r="H3" s="5" t="inlineStr">
        <is>
          <t>Current odometer</t>
        </is>
      </c>
      <c r="I3" s="5" t="inlineStr">
        <is>
          <t>Odometer date</t>
        </is>
      </c>
      <c r="J3" s="5" t="inlineStr">
        <is>
          <t>Avg km per month</t>
        </is>
      </c>
    </row>
    <row r="4">
      <c r="A4" s="7" t="inlineStr">
        <is>
          <t>C01</t>
        </is>
      </c>
      <c r="B4" s="7" t="inlineStr">
        <is>
          <t>Hilux 1</t>
        </is>
      </c>
      <c r="C4" s="7" t="inlineStr">
        <is>
          <t>Toyota</t>
        </is>
      </c>
      <c r="D4" s="7" t="inlineStr">
        <is>
          <t>Hilux</t>
        </is>
      </c>
      <c r="E4" s="23" t="n">
        <v>2022</v>
      </c>
      <c r="F4" s="7" t="inlineStr">
        <is>
          <t>ABC 1234</t>
        </is>
      </c>
      <c r="G4" s="7" t="inlineStr">
        <is>
          <t>Diesel</t>
        </is>
      </c>
      <c r="H4" s="10" t="n">
        <v>46900</v>
      </c>
      <c r="I4" s="9">
        <f>TODAY()-3</f>
        <v/>
      </c>
      <c r="J4" s="10" t="n">
        <v>2500</v>
      </c>
    </row>
    <row r="5">
      <c r="A5" s="7" t="inlineStr">
        <is>
          <t>C02</t>
        </is>
      </c>
      <c r="B5" s="7" t="inlineStr">
        <is>
          <t>Delivery Accent</t>
        </is>
      </c>
      <c r="C5" s="7" t="inlineStr">
        <is>
          <t>Hyundai</t>
        </is>
      </c>
      <c r="D5" s="7" t="inlineStr">
        <is>
          <t>Accent</t>
        </is>
      </c>
      <c r="E5" s="23" t="n">
        <v>2023</v>
      </c>
      <c r="F5" s="7" t="inlineStr">
        <is>
          <t>GHJ 2468</t>
        </is>
      </c>
      <c r="G5" s="7" t="inlineStr">
        <is>
          <t>Petrol</t>
        </is>
      </c>
      <c r="H5" s="10" t="n">
        <v>22800</v>
      </c>
      <c r="I5" s="9">
        <f>TODAY()-3</f>
        <v/>
      </c>
      <c r="J5" s="10" t="n">
        <v>3200</v>
      </c>
    </row>
    <row r="6">
      <c r="A6" s="15" t="n"/>
      <c r="B6" s="15" t="n"/>
      <c r="C6" s="15" t="n"/>
      <c r="D6" s="15" t="n"/>
      <c r="E6" s="24" t="n"/>
      <c r="F6" s="15" t="n"/>
      <c r="G6" s="15" t="n"/>
      <c r="H6" s="18" t="n"/>
      <c r="I6" s="17" t="n"/>
      <c r="J6" s="18" t="n"/>
    </row>
    <row r="7">
      <c r="A7" s="15" t="n"/>
      <c r="B7" s="15" t="n"/>
      <c r="C7" s="15" t="n"/>
      <c r="D7" s="15" t="n"/>
      <c r="E7" s="24" t="n"/>
      <c r="F7" s="15" t="n"/>
      <c r="G7" s="15" t="n"/>
      <c r="H7" s="18" t="n"/>
      <c r="I7" s="17" t="n"/>
      <c r="J7" s="18" t="n"/>
    </row>
    <row r="8">
      <c r="A8" s="15" t="n"/>
      <c r="B8" s="15" t="n"/>
      <c r="C8" s="15" t="n"/>
      <c r="D8" s="15" t="n"/>
      <c r="E8" s="24" t="n"/>
      <c r="F8" s="15" t="n"/>
      <c r="G8" s="15" t="n"/>
      <c r="H8" s="18" t="n"/>
      <c r="I8" s="17" t="n"/>
      <c r="J8" s="18" t="n"/>
    </row>
    <row r="9">
      <c r="A9" s="15" t="n"/>
      <c r="B9" s="15" t="n"/>
      <c r="C9" s="15" t="n"/>
      <c r="D9" s="15" t="n"/>
      <c r="E9" s="24" t="n"/>
      <c r="F9" s="15" t="n"/>
      <c r="G9" s="15" t="n"/>
      <c r="H9" s="18" t="n"/>
      <c r="I9" s="17" t="n"/>
      <c r="J9" s="18" t="n"/>
    </row>
    <row r="10">
      <c r="A10" s="15" t="n"/>
      <c r="B10" s="15" t="n"/>
      <c r="C10" s="15" t="n"/>
      <c r="D10" s="15" t="n"/>
      <c r="E10" s="24" t="n"/>
      <c r="F10" s="15" t="n"/>
      <c r="G10" s="15" t="n"/>
      <c r="H10" s="18" t="n"/>
      <c r="I10" s="17" t="n"/>
      <c r="J10" s="18" t="n"/>
    </row>
    <row r="11">
      <c r="A11" s="15" t="n"/>
      <c r="B11" s="15" t="n"/>
      <c r="C11" s="15" t="n"/>
      <c r="D11" s="15" t="n"/>
      <c r="E11" s="24" t="n"/>
      <c r="F11" s="15" t="n"/>
      <c r="G11" s="15" t="n"/>
      <c r="H11" s="18" t="n"/>
      <c r="I11" s="17" t="n"/>
      <c r="J11" s="18" t="n"/>
    </row>
    <row r="12">
      <c r="A12" s="15" t="n"/>
      <c r="B12" s="15" t="n"/>
      <c r="C12" s="15" t="n"/>
      <c r="D12" s="15" t="n"/>
      <c r="E12" s="24" t="n"/>
      <c r="F12" s="15" t="n"/>
      <c r="G12" s="15" t="n"/>
      <c r="H12" s="18" t="n"/>
      <c r="I12" s="17" t="n"/>
      <c r="J12" s="18" t="n"/>
    </row>
    <row r="13">
      <c r="A13" s="15" t="n"/>
      <c r="B13" s="15" t="n"/>
      <c r="C13" s="15" t="n"/>
      <c r="D13" s="15" t="n"/>
      <c r="E13" s="24" t="n"/>
      <c r="F13" s="15" t="n"/>
      <c r="G13" s="15" t="n"/>
      <c r="H13" s="18" t="n"/>
      <c r="I13" s="17" t="n"/>
      <c r="J13" s="18" t="n"/>
    </row>
    <row r="14">
      <c r="A14" s="15" t="n"/>
      <c r="B14" s="15" t="n"/>
      <c r="C14" s="15" t="n"/>
      <c r="D14" s="15" t="n"/>
      <c r="E14" s="24" t="n"/>
      <c r="F14" s="15" t="n"/>
      <c r="G14" s="15" t="n"/>
      <c r="H14" s="18" t="n"/>
      <c r="I14" s="17" t="n"/>
      <c r="J14" s="18" t="n"/>
    </row>
    <row r="15">
      <c r="A15" s="15" t="n"/>
      <c r="B15" s="15" t="n"/>
      <c r="C15" s="15" t="n"/>
      <c r="D15" s="15" t="n"/>
      <c r="E15" s="24" t="n"/>
      <c r="F15" s="15" t="n"/>
      <c r="G15" s="15" t="n"/>
      <c r="H15" s="18" t="n"/>
      <c r="I15" s="17" t="n"/>
      <c r="J15" s="18" t="n"/>
    </row>
    <row r="16">
      <c r="A16" s="15" t="n"/>
      <c r="B16" s="15" t="n"/>
      <c r="C16" s="15" t="n"/>
      <c r="D16" s="15" t="n"/>
      <c r="E16" s="24" t="n"/>
      <c r="F16" s="15" t="n"/>
      <c r="G16" s="15" t="n"/>
      <c r="H16" s="18" t="n"/>
      <c r="I16" s="17" t="n"/>
      <c r="J16" s="18" t="n"/>
    </row>
    <row r="17">
      <c r="A17" s="15" t="n"/>
      <c r="B17" s="15" t="n"/>
      <c r="C17" s="15" t="n"/>
      <c r="D17" s="15" t="n"/>
      <c r="E17" s="24" t="n"/>
      <c r="F17" s="15" t="n"/>
      <c r="G17" s="15" t="n"/>
      <c r="H17" s="18" t="n"/>
      <c r="I17" s="17" t="n"/>
      <c r="J17" s="18" t="n"/>
    </row>
    <row r="18">
      <c r="A18" s="15" t="n"/>
      <c r="B18" s="15" t="n"/>
      <c r="C18" s="15" t="n"/>
      <c r="D18" s="15" t="n"/>
      <c r="E18" s="24" t="n"/>
      <c r="F18" s="15" t="n"/>
      <c r="G18" s="15" t="n"/>
      <c r="H18" s="18" t="n"/>
      <c r="I18" s="17" t="n"/>
      <c r="J18" s="18" t="n"/>
    </row>
    <row r="19">
      <c r="A19" s="15" t="n"/>
      <c r="B19" s="15" t="n"/>
      <c r="C19" s="15" t="n"/>
      <c r="D19" s="15" t="n"/>
      <c r="E19" s="24" t="n"/>
      <c r="F19" s="15" t="n"/>
      <c r="G19" s="15" t="n"/>
      <c r="H19" s="18" t="n"/>
      <c r="I19" s="17" t="n"/>
      <c r="J19" s="18" t="n"/>
    </row>
    <row r="20">
      <c r="A20" s="15" t="n"/>
      <c r="B20" s="15" t="n"/>
      <c r="C20" s="15" t="n"/>
      <c r="D20" s="15" t="n"/>
      <c r="E20" s="24" t="n"/>
      <c r="F20" s="15" t="n"/>
      <c r="G20" s="15" t="n"/>
      <c r="H20" s="18" t="n"/>
      <c r="I20" s="17" t="n"/>
      <c r="J20" s="18" t="n"/>
    </row>
    <row r="21">
      <c r="A21" s="15" t="n"/>
      <c r="B21" s="15" t="n"/>
      <c r="C21" s="15" t="n"/>
      <c r="D21" s="15" t="n"/>
      <c r="E21" s="24" t="n"/>
      <c r="F21" s="15" t="n"/>
      <c r="G21" s="15" t="n"/>
      <c r="H21" s="18" t="n"/>
      <c r="I21" s="17" t="n"/>
      <c r="J21" s="18" t="n"/>
    </row>
    <row r="22">
      <c r="A22" s="15" t="n"/>
      <c r="B22" s="15" t="n"/>
      <c r="C22" s="15" t="n"/>
      <c r="D22" s="15" t="n"/>
      <c r="E22" s="24" t="n"/>
      <c r="F22" s="15" t="n"/>
      <c r="G22" s="15" t="n"/>
      <c r="H22" s="18" t="n"/>
      <c r="I22" s="17" t="n"/>
      <c r="J22" s="18" t="n"/>
    </row>
    <row r="23">
      <c r="A23" s="15" t="n"/>
      <c r="B23" s="15" t="n"/>
      <c r="C23" s="15" t="n"/>
      <c r="D23" s="15" t="n"/>
      <c r="E23" s="24" t="n"/>
      <c r="F23" s="15" t="n"/>
      <c r="G23" s="15" t="n"/>
      <c r="H23" s="18" t="n"/>
      <c r="I23" s="17" t="n"/>
      <c r="J23" s="18" t="n"/>
    </row>
    <row r="24">
      <c r="A24" s="15" t="n"/>
      <c r="B24" s="15" t="n"/>
      <c r="C24" s="15" t="n"/>
      <c r="D24" s="15" t="n"/>
      <c r="E24" s="24" t="n"/>
      <c r="F24" s="15" t="n"/>
      <c r="G24" s="15" t="n"/>
      <c r="H24" s="18" t="n"/>
      <c r="I24" s="17" t="n"/>
      <c r="J24" s="18" t="n"/>
    </row>
    <row r="25">
      <c r="A25" s="15" t="n"/>
      <c r="B25" s="15" t="n"/>
      <c r="C25" s="15" t="n"/>
      <c r="D25" s="15" t="n"/>
      <c r="E25" s="24" t="n"/>
      <c r="F25" s="15" t="n"/>
      <c r="G25" s="15" t="n"/>
      <c r="H25" s="18" t="n"/>
      <c r="I25" s="17" t="n"/>
      <c r="J25" s="18" t="n"/>
    </row>
    <row r="26">
      <c r="A26" s="15" t="n"/>
      <c r="B26" s="15" t="n"/>
      <c r="C26" s="15" t="n"/>
      <c r="D26" s="15" t="n"/>
      <c r="E26" s="24" t="n"/>
      <c r="F26" s="15" t="n"/>
      <c r="G26" s="15" t="n"/>
      <c r="H26" s="18" t="n"/>
      <c r="I26" s="17" t="n"/>
      <c r="J26" s="18" t="n"/>
    </row>
    <row r="27">
      <c r="A27" s="15" t="n"/>
      <c r="B27" s="15" t="n"/>
      <c r="C27" s="15" t="n"/>
      <c r="D27" s="15" t="n"/>
      <c r="E27" s="24" t="n"/>
      <c r="F27" s="15" t="n"/>
      <c r="G27" s="15" t="n"/>
      <c r="H27" s="18" t="n"/>
      <c r="I27" s="17" t="n"/>
      <c r="J27" s="18" t="n"/>
    </row>
    <row r="28">
      <c r="A28" s="15" t="n"/>
      <c r="B28" s="15" t="n"/>
      <c r="C28" s="15" t="n"/>
      <c r="D28" s="15" t="n"/>
      <c r="E28" s="24" t="n"/>
      <c r="F28" s="15" t="n"/>
      <c r="G28" s="15" t="n"/>
      <c r="H28" s="18" t="n"/>
      <c r="I28" s="17" t="n"/>
      <c r="J28" s="18" t="n"/>
    </row>
    <row r="29">
      <c r="A29" s="15" t="n"/>
      <c r="B29" s="15" t="n"/>
      <c r="C29" s="15" t="n"/>
      <c r="D29" s="15" t="n"/>
      <c r="E29" s="24" t="n"/>
      <c r="F29" s="15" t="n"/>
      <c r="G29" s="15" t="n"/>
      <c r="H29" s="18" t="n"/>
      <c r="I29" s="17" t="n"/>
      <c r="J29" s="18" t="n"/>
    </row>
    <row r="30">
      <c r="A30" s="15" t="n"/>
      <c r="B30" s="15" t="n"/>
      <c r="C30" s="15" t="n"/>
      <c r="D30" s="15" t="n"/>
      <c r="E30" s="24" t="n"/>
      <c r="F30" s="15" t="n"/>
      <c r="G30" s="15" t="n"/>
      <c r="H30" s="18" t="n"/>
      <c r="I30" s="17" t="n"/>
      <c r="J30" s="18" t="n"/>
    </row>
    <row r="31">
      <c r="A31" s="15" t="n"/>
      <c r="B31" s="15" t="n"/>
      <c r="C31" s="15" t="n"/>
      <c r="D31" s="15" t="n"/>
      <c r="E31" s="24" t="n"/>
      <c r="F31" s="15" t="n"/>
      <c r="G31" s="15" t="n"/>
      <c r="H31" s="18" t="n"/>
      <c r="I31" s="17" t="n"/>
      <c r="J31" s="18" t="n"/>
    </row>
    <row r="32">
      <c r="A32" s="15" t="n"/>
      <c r="B32" s="15" t="n"/>
      <c r="C32" s="15" t="n"/>
      <c r="D32" s="15" t="n"/>
      <c r="E32" s="24" t="n"/>
      <c r="F32" s="15" t="n"/>
      <c r="G32" s="15" t="n"/>
      <c r="H32" s="18" t="n"/>
      <c r="I32" s="17" t="n"/>
      <c r="J32" s="18" t="n"/>
    </row>
    <row r="33">
      <c r="A33" s="15" t="n"/>
      <c r="B33" s="15" t="n"/>
      <c r="C33" s="15" t="n"/>
      <c r="D33" s="15" t="n"/>
      <c r="E33" s="24" t="n"/>
      <c r="F33" s="15" t="n"/>
      <c r="G33" s="15" t="n"/>
      <c r="H33" s="18" t="n"/>
      <c r="I33" s="17" t="n"/>
      <c r="J33" s="18" t="n"/>
    </row>
    <row r="34">
      <c r="A34" s="15" t="n"/>
      <c r="B34" s="15" t="n"/>
      <c r="C34" s="15" t="n"/>
      <c r="D34" s="15" t="n"/>
      <c r="E34" s="24" t="n"/>
      <c r="F34" s="15" t="n"/>
      <c r="G34" s="15" t="n"/>
      <c r="H34" s="18" t="n"/>
      <c r="I34" s="17" t="n"/>
      <c r="J34" s="18" t="n"/>
    </row>
    <row r="35">
      <c r="A35" s="15" t="n"/>
      <c r="B35" s="15" t="n"/>
      <c r="C35" s="15" t="n"/>
      <c r="D35" s="15" t="n"/>
      <c r="E35" s="24" t="n"/>
      <c r="F35" s="15" t="n"/>
      <c r="G35" s="15" t="n"/>
      <c r="H35" s="18" t="n"/>
      <c r="I35" s="17" t="n"/>
      <c r="J35" s="18" t="n"/>
    </row>
    <row r="36">
      <c r="A36" s="15" t="n"/>
      <c r="B36" s="15" t="n"/>
      <c r="C36" s="15" t="n"/>
      <c r="D36" s="15" t="n"/>
      <c r="E36" s="24" t="n"/>
      <c r="F36" s="15" t="n"/>
      <c r="G36" s="15" t="n"/>
      <c r="H36" s="18" t="n"/>
      <c r="I36" s="17" t="n"/>
      <c r="J36" s="18" t="n"/>
    </row>
    <row r="37">
      <c r="A37" s="15" t="n"/>
      <c r="B37" s="15" t="n"/>
      <c r="C37" s="15" t="n"/>
      <c r="D37" s="15" t="n"/>
      <c r="E37" s="24" t="n"/>
      <c r="F37" s="15" t="n"/>
      <c r="G37" s="15" t="n"/>
      <c r="H37" s="18" t="n"/>
      <c r="I37" s="17" t="n"/>
      <c r="J37" s="18" t="n"/>
    </row>
    <row r="38">
      <c r="A38" s="15" t="n"/>
      <c r="B38" s="15" t="n"/>
      <c r="C38" s="15" t="n"/>
      <c r="D38" s="15" t="n"/>
      <c r="E38" s="24" t="n"/>
      <c r="F38" s="15" t="n"/>
      <c r="G38" s="15" t="n"/>
      <c r="H38" s="18" t="n"/>
      <c r="I38" s="17" t="n"/>
      <c r="J38" s="18" t="n"/>
    </row>
    <row r="39">
      <c r="A39" s="15" t="n"/>
      <c r="B39" s="15" t="n"/>
      <c r="C39" s="15" t="n"/>
      <c r="D39" s="15" t="n"/>
      <c r="E39" s="24" t="n"/>
      <c r="F39" s="15" t="n"/>
      <c r="G39" s="15" t="n"/>
      <c r="H39" s="18" t="n"/>
      <c r="I39" s="17" t="n"/>
      <c r="J39" s="18" t="n"/>
    </row>
    <row r="40">
      <c r="A40" s="15" t="n"/>
      <c r="B40" s="15" t="n"/>
      <c r="C40" s="15" t="n"/>
      <c r="D40" s="15" t="n"/>
      <c r="E40" s="24" t="n"/>
      <c r="F40" s="15" t="n"/>
      <c r="G40" s="15" t="n"/>
      <c r="H40" s="18" t="n"/>
      <c r="I40" s="17" t="n"/>
      <c r="J40" s="18" t="n"/>
    </row>
    <row r="41">
      <c r="A41" s="15" t="n"/>
      <c r="B41" s="15" t="n"/>
      <c r="C41" s="15" t="n"/>
      <c r="D41" s="15" t="n"/>
      <c r="E41" s="24" t="n"/>
      <c r="F41" s="15" t="n"/>
      <c r="G41" s="15" t="n"/>
      <c r="H41" s="18" t="n"/>
      <c r="I41" s="17" t="n"/>
      <c r="J41" s="18" t="n"/>
    </row>
    <row r="42">
      <c r="A42" s="15" t="n"/>
      <c r="B42" s="15" t="n"/>
      <c r="C42" s="15" t="n"/>
      <c r="D42" s="15" t="n"/>
      <c r="E42" s="24" t="n"/>
      <c r="F42" s="15" t="n"/>
      <c r="G42" s="15" t="n"/>
      <c r="H42" s="18" t="n"/>
      <c r="I42" s="17" t="n"/>
      <c r="J42" s="18" t="n"/>
    </row>
    <row r="43">
      <c r="A43" s="15" t="n"/>
      <c r="B43" s="15" t="n"/>
      <c r="C43" s="15" t="n"/>
      <c r="D43" s="15" t="n"/>
      <c r="E43" s="24" t="n"/>
      <c r="F43" s="15" t="n"/>
      <c r="G43" s="15" t="n"/>
      <c r="H43" s="18" t="n"/>
      <c r="I43" s="17" t="n"/>
      <c r="J43" s="18" t="n"/>
    </row>
    <row r="44">
      <c r="A44" s="15" t="n"/>
      <c r="B44" s="15" t="n"/>
      <c r="C44" s="15" t="n"/>
      <c r="D44" s="15" t="n"/>
      <c r="E44" s="24" t="n"/>
      <c r="F44" s="15" t="n"/>
      <c r="G44" s="15" t="n"/>
      <c r="H44" s="18" t="n"/>
      <c r="I44" s="17" t="n"/>
      <c r="J44" s="18" t="n"/>
    </row>
    <row r="45">
      <c r="A45" s="15" t="n"/>
      <c r="B45" s="15" t="n"/>
      <c r="C45" s="15" t="n"/>
      <c r="D45" s="15" t="n"/>
      <c r="E45" s="24" t="n"/>
      <c r="F45" s="15" t="n"/>
      <c r="G45" s="15" t="n"/>
      <c r="H45" s="18" t="n"/>
      <c r="I45" s="17" t="n"/>
      <c r="J45" s="18" t="n"/>
    </row>
    <row r="46">
      <c r="A46" s="15" t="n"/>
      <c r="B46" s="15" t="n"/>
      <c r="C46" s="15" t="n"/>
      <c r="D46" s="15" t="n"/>
      <c r="E46" s="24" t="n"/>
      <c r="F46" s="15" t="n"/>
      <c r="G46" s="15" t="n"/>
      <c r="H46" s="18" t="n"/>
      <c r="I46" s="17" t="n"/>
      <c r="J46" s="18" t="n"/>
    </row>
    <row r="47">
      <c r="A47" s="15" t="n"/>
      <c r="B47" s="15" t="n"/>
      <c r="C47" s="15" t="n"/>
      <c r="D47" s="15" t="n"/>
      <c r="E47" s="24" t="n"/>
      <c r="F47" s="15" t="n"/>
      <c r="G47" s="15" t="n"/>
      <c r="H47" s="18" t="n"/>
      <c r="I47" s="17" t="n"/>
      <c r="J47" s="18" t="n"/>
    </row>
    <row r="48">
      <c r="A48" s="15" t="n"/>
      <c r="B48" s="15" t="n"/>
      <c r="C48" s="15" t="n"/>
      <c r="D48" s="15" t="n"/>
      <c r="E48" s="24" t="n"/>
      <c r="F48" s="15" t="n"/>
      <c r="G48" s="15" t="n"/>
      <c r="H48" s="18" t="n"/>
      <c r="I48" s="17" t="n"/>
      <c r="J48" s="18" t="n"/>
    </row>
    <row r="49">
      <c r="A49" s="15" t="n"/>
      <c r="B49" s="15" t="n"/>
      <c r="C49" s="15" t="n"/>
      <c r="D49" s="15" t="n"/>
      <c r="E49" s="24" t="n"/>
      <c r="F49" s="15" t="n"/>
      <c r="G49" s="15" t="n"/>
      <c r="H49" s="18" t="n"/>
      <c r="I49" s="17" t="n"/>
      <c r="J49" s="18" t="n"/>
    </row>
    <row r="50">
      <c r="A50" s="15" t="n"/>
      <c r="B50" s="15" t="n"/>
      <c r="C50" s="15" t="n"/>
      <c r="D50" s="15" t="n"/>
      <c r="E50" s="24" t="n"/>
      <c r="F50" s="15" t="n"/>
      <c r="G50" s="15" t="n"/>
      <c r="H50" s="18" t="n"/>
      <c r="I50" s="17" t="n"/>
      <c r="J50" s="18" t="n"/>
    </row>
    <row r="51">
      <c r="A51" s="15" t="n"/>
      <c r="B51" s="15" t="n"/>
      <c r="C51" s="15" t="n"/>
      <c r="D51" s="15" t="n"/>
      <c r="E51" s="24" t="n"/>
      <c r="F51" s="15" t="n"/>
      <c r="G51" s="15" t="n"/>
      <c r="H51" s="18" t="n"/>
      <c r="I51" s="17" t="n"/>
      <c r="J51" s="18" t="n"/>
    </row>
    <row r="52">
      <c r="A52" s="15" t="n"/>
      <c r="B52" s="15" t="n"/>
      <c r="C52" s="15" t="n"/>
      <c r="D52" s="15" t="n"/>
      <c r="E52" s="24" t="n"/>
      <c r="F52" s="15" t="n"/>
      <c r="G52" s="15" t="n"/>
      <c r="H52" s="18" t="n"/>
      <c r="I52" s="17" t="n"/>
      <c r="J52" s="18" t="n"/>
    </row>
    <row r="53">
      <c r="A53" s="15" t="n"/>
      <c r="B53" s="15" t="n"/>
      <c r="C53" s="15" t="n"/>
      <c r="D53" s="15" t="n"/>
      <c r="E53" s="24" t="n"/>
      <c r="F53" s="15" t="n"/>
      <c r="G53" s="15" t="n"/>
      <c r="H53" s="18" t="n"/>
      <c r="I53" s="17" t="n"/>
      <c r="J53" s="18" t="n"/>
    </row>
    <row r="54">
      <c r="A54" s="15" t="n"/>
      <c r="B54" s="15" t="n"/>
      <c r="C54" s="15" t="n"/>
      <c r="D54" s="15" t="n"/>
      <c r="E54" s="24" t="n"/>
      <c r="F54" s="15" t="n"/>
      <c r="G54" s="15" t="n"/>
      <c r="H54" s="18" t="n"/>
      <c r="I54" s="17" t="n"/>
      <c r="J54" s="18" t="n"/>
    </row>
    <row r="55">
      <c r="A55" s="15" t="n"/>
      <c r="B55" s="15" t="n"/>
      <c r="C55" s="15" t="n"/>
      <c r="D55" s="15" t="n"/>
      <c r="E55" s="24" t="n"/>
      <c r="F55" s="15" t="n"/>
      <c r="G55" s="15" t="n"/>
      <c r="H55" s="18" t="n"/>
      <c r="I55" s="17" t="n"/>
      <c r="J55" s="18" t="n"/>
    </row>
    <row r="56">
      <c r="A56" s="15" t="n"/>
      <c r="B56" s="15" t="n"/>
      <c r="C56" s="15" t="n"/>
      <c r="D56" s="15" t="n"/>
      <c r="E56" s="24" t="n"/>
      <c r="F56" s="15" t="n"/>
      <c r="G56" s="15" t="n"/>
      <c r="H56" s="18" t="n"/>
      <c r="I56" s="17" t="n"/>
      <c r="J56" s="18" t="n"/>
    </row>
    <row r="57">
      <c r="A57" s="15" t="n"/>
      <c r="B57" s="15" t="n"/>
      <c r="C57" s="15" t="n"/>
      <c r="D57" s="15" t="n"/>
      <c r="E57" s="24" t="n"/>
      <c r="F57" s="15" t="n"/>
      <c r="G57" s="15" t="n"/>
      <c r="H57" s="18" t="n"/>
      <c r="I57" s="17" t="n"/>
      <c r="J57" s="18" t="n"/>
    </row>
    <row r="58">
      <c r="A58" s="15" t="n"/>
      <c r="B58" s="15" t="n"/>
      <c r="C58" s="15" t="n"/>
      <c r="D58" s="15" t="n"/>
      <c r="E58" s="24" t="n"/>
      <c r="F58" s="15" t="n"/>
      <c r="G58" s="15" t="n"/>
      <c r="H58" s="18" t="n"/>
      <c r="I58" s="17" t="n"/>
      <c r="J58" s="18" t="n"/>
    </row>
    <row r="59">
      <c r="A59" s="15" t="n"/>
      <c r="B59" s="15" t="n"/>
      <c r="C59" s="15" t="n"/>
      <c r="D59" s="15" t="n"/>
      <c r="E59" s="24" t="n"/>
      <c r="F59" s="15" t="n"/>
      <c r="G59" s="15" t="n"/>
      <c r="H59" s="18" t="n"/>
      <c r="I59" s="17" t="n"/>
      <c r="J59" s="18" t="n"/>
    </row>
    <row r="60">
      <c r="A60" s="15" t="n"/>
      <c r="B60" s="15" t="n"/>
      <c r="C60" s="15" t="n"/>
      <c r="D60" s="15" t="n"/>
      <c r="E60" s="24" t="n"/>
      <c r="F60" s="15" t="n"/>
      <c r="G60" s="15" t="n"/>
      <c r="H60" s="18" t="n"/>
      <c r="I60" s="17" t="n"/>
      <c r="J60" s="18" t="n"/>
    </row>
    <row r="61">
      <c r="A61" s="15" t="n"/>
      <c r="B61" s="15" t="n"/>
      <c r="C61" s="15" t="n"/>
      <c r="D61" s="15" t="n"/>
      <c r="E61" s="24" t="n"/>
      <c r="F61" s="15" t="n"/>
      <c r="G61" s="15" t="n"/>
      <c r="H61" s="18" t="n"/>
      <c r="I61" s="17" t="n"/>
      <c r="J61" s="18" t="n"/>
    </row>
    <row r="62">
      <c r="A62" s="15" t="n"/>
      <c r="B62" s="15" t="n"/>
      <c r="C62" s="15" t="n"/>
      <c r="D62" s="15" t="n"/>
      <c r="E62" s="24" t="n"/>
      <c r="F62" s="15" t="n"/>
      <c r="G62" s="15" t="n"/>
      <c r="H62" s="18" t="n"/>
      <c r="I62" s="17" t="n"/>
      <c r="J62" s="18" t="n"/>
    </row>
    <row r="63">
      <c r="A63" s="15" t="n"/>
      <c r="B63" s="15" t="n"/>
      <c r="C63" s="15" t="n"/>
      <c r="D63" s="15" t="n"/>
      <c r="E63" s="24" t="n"/>
      <c r="F63" s="15" t="n"/>
      <c r="G63" s="15" t="n"/>
      <c r="H63" s="18" t="n"/>
      <c r="I63" s="17" t="n"/>
      <c r="J63" s="18" t="n"/>
    </row>
    <row r="64">
      <c r="A64" s="15" t="n"/>
      <c r="B64" s="15" t="n"/>
      <c r="C64" s="15" t="n"/>
      <c r="D64" s="15" t="n"/>
      <c r="E64" s="24" t="n"/>
      <c r="F64" s="15" t="n"/>
      <c r="G64" s="15" t="n"/>
      <c r="H64" s="18" t="n"/>
      <c r="I64" s="17" t="n"/>
      <c r="J64" s="18" t="n"/>
    </row>
    <row r="65">
      <c r="A65" s="15" t="n"/>
      <c r="B65" s="15" t="n"/>
      <c r="C65" s="15" t="n"/>
      <c r="D65" s="15" t="n"/>
      <c r="E65" s="24" t="n"/>
      <c r="F65" s="15" t="n"/>
      <c r="G65" s="15" t="n"/>
      <c r="H65" s="18" t="n"/>
      <c r="I65" s="17" t="n"/>
      <c r="J65" s="18" t="n"/>
    </row>
    <row r="66">
      <c r="A66" s="15" t="n"/>
      <c r="B66" s="15" t="n"/>
      <c r="C66" s="15" t="n"/>
      <c r="D66" s="15" t="n"/>
      <c r="E66" s="24" t="n"/>
      <c r="F66" s="15" t="n"/>
      <c r="G66" s="15" t="n"/>
      <c r="H66" s="18" t="n"/>
      <c r="I66" s="17" t="n"/>
      <c r="J66" s="18" t="n"/>
    </row>
    <row r="67">
      <c r="A67" s="15" t="n"/>
      <c r="B67" s="15" t="n"/>
      <c r="C67" s="15" t="n"/>
      <c r="D67" s="15" t="n"/>
      <c r="E67" s="24" t="n"/>
      <c r="F67" s="15" t="n"/>
      <c r="G67" s="15" t="n"/>
      <c r="H67" s="18" t="n"/>
      <c r="I67" s="17" t="n"/>
      <c r="J67" s="18" t="n"/>
    </row>
    <row r="68">
      <c r="A68" s="15" t="n"/>
      <c r="B68" s="15" t="n"/>
      <c r="C68" s="15" t="n"/>
      <c r="D68" s="15" t="n"/>
      <c r="E68" s="24" t="n"/>
      <c r="F68" s="15" t="n"/>
      <c r="G68" s="15" t="n"/>
      <c r="H68" s="18" t="n"/>
      <c r="I68" s="17" t="n"/>
      <c r="J68" s="18" t="n"/>
    </row>
    <row r="69">
      <c r="A69" s="15" t="n"/>
      <c r="B69" s="15" t="n"/>
      <c r="C69" s="15" t="n"/>
      <c r="D69" s="15" t="n"/>
      <c r="E69" s="24" t="n"/>
      <c r="F69" s="15" t="n"/>
      <c r="G69" s="15" t="n"/>
      <c r="H69" s="18" t="n"/>
      <c r="I69" s="17" t="n"/>
      <c r="J69" s="18" t="n"/>
    </row>
    <row r="70">
      <c r="A70" s="15" t="n"/>
      <c r="B70" s="15" t="n"/>
      <c r="C70" s="15" t="n"/>
      <c r="D70" s="15" t="n"/>
      <c r="E70" s="24" t="n"/>
      <c r="F70" s="15" t="n"/>
      <c r="G70" s="15" t="n"/>
      <c r="H70" s="18" t="n"/>
      <c r="I70" s="17" t="n"/>
      <c r="J70" s="18" t="n"/>
    </row>
    <row r="71">
      <c r="A71" s="15" t="n"/>
      <c r="B71" s="15" t="n"/>
      <c r="C71" s="15" t="n"/>
      <c r="D71" s="15" t="n"/>
      <c r="E71" s="24" t="n"/>
      <c r="F71" s="15" t="n"/>
      <c r="G71" s="15" t="n"/>
      <c r="H71" s="18" t="n"/>
      <c r="I71" s="17" t="n"/>
      <c r="J71" s="18" t="n"/>
    </row>
    <row r="72">
      <c r="A72" s="15" t="n"/>
      <c r="B72" s="15" t="n"/>
      <c r="C72" s="15" t="n"/>
      <c r="D72" s="15" t="n"/>
      <c r="E72" s="24" t="n"/>
      <c r="F72" s="15" t="n"/>
      <c r="G72" s="15" t="n"/>
      <c r="H72" s="18" t="n"/>
      <c r="I72" s="17" t="n"/>
      <c r="J72" s="18" t="n"/>
    </row>
    <row r="73">
      <c r="A73" s="15" t="n"/>
      <c r="B73" s="15" t="n"/>
      <c r="C73" s="15" t="n"/>
      <c r="D73" s="15" t="n"/>
      <c r="E73" s="24" t="n"/>
      <c r="F73" s="15" t="n"/>
      <c r="G73" s="15" t="n"/>
      <c r="H73" s="18" t="n"/>
      <c r="I73" s="17" t="n"/>
      <c r="J73" s="18" t="n"/>
    </row>
    <row r="74">
      <c r="A74" s="15" t="n"/>
      <c r="B74" s="15" t="n"/>
      <c r="C74" s="15" t="n"/>
      <c r="D74" s="15" t="n"/>
      <c r="E74" s="24" t="n"/>
      <c r="F74" s="15" t="n"/>
      <c r="G74" s="15" t="n"/>
      <c r="H74" s="18" t="n"/>
      <c r="I74" s="17" t="n"/>
      <c r="J74" s="18" t="n"/>
    </row>
    <row r="75">
      <c r="A75" s="15" t="n"/>
      <c r="B75" s="15" t="n"/>
      <c r="C75" s="15" t="n"/>
      <c r="D75" s="15" t="n"/>
      <c r="E75" s="24" t="n"/>
      <c r="F75" s="15" t="n"/>
      <c r="G75" s="15" t="n"/>
      <c r="H75" s="18" t="n"/>
      <c r="I75" s="17" t="n"/>
      <c r="J75" s="18" t="n"/>
    </row>
    <row r="76">
      <c r="A76" s="15" t="n"/>
      <c r="B76" s="15" t="n"/>
      <c r="C76" s="15" t="n"/>
      <c r="D76" s="15" t="n"/>
      <c r="E76" s="24" t="n"/>
      <c r="F76" s="15" t="n"/>
      <c r="G76" s="15" t="n"/>
      <c r="H76" s="18" t="n"/>
      <c r="I76" s="17" t="n"/>
      <c r="J76" s="18" t="n"/>
    </row>
    <row r="77">
      <c r="A77" s="15" t="n"/>
      <c r="B77" s="15" t="n"/>
      <c r="C77" s="15" t="n"/>
      <c r="D77" s="15" t="n"/>
      <c r="E77" s="24" t="n"/>
      <c r="F77" s="15" t="n"/>
      <c r="G77" s="15" t="n"/>
      <c r="H77" s="18" t="n"/>
      <c r="I77" s="17" t="n"/>
      <c r="J77" s="18" t="n"/>
    </row>
    <row r="78">
      <c r="A78" s="15" t="n"/>
      <c r="B78" s="15" t="n"/>
      <c r="C78" s="15" t="n"/>
      <c r="D78" s="15" t="n"/>
      <c r="E78" s="24" t="n"/>
      <c r="F78" s="15" t="n"/>
      <c r="G78" s="15" t="n"/>
      <c r="H78" s="18" t="n"/>
      <c r="I78" s="17" t="n"/>
      <c r="J78" s="18" t="n"/>
    </row>
    <row r="79">
      <c r="A79" s="15" t="n"/>
      <c r="B79" s="15" t="n"/>
      <c r="C79" s="15" t="n"/>
      <c r="D79" s="15" t="n"/>
      <c r="E79" s="24" t="n"/>
      <c r="F79" s="15" t="n"/>
      <c r="G79" s="15" t="n"/>
      <c r="H79" s="18" t="n"/>
      <c r="I79" s="17" t="n"/>
      <c r="J79" s="18" t="n"/>
    </row>
    <row r="80">
      <c r="A80" s="15" t="n"/>
      <c r="B80" s="15" t="n"/>
      <c r="C80" s="15" t="n"/>
      <c r="D80" s="15" t="n"/>
      <c r="E80" s="24" t="n"/>
      <c r="F80" s="15" t="n"/>
      <c r="G80" s="15" t="n"/>
      <c r="H80" s="18" t="n"/>
      <c r="I80" s="17" t="n"/>
      <c r="J80" s="18" t="n"/>
    </row>
    <row r="81">
      <c r="A81" s="15" t="n"/>
      <c r="B81" s="15" t="n"/>
      <c r="C81" s="15" t="n"/>
      <c r="D81" s="15" t="n"/>
      <c r="E81" s="24" t="n"/>
      <c r="F81" s="15" t="n"/>
      <c r="G81" s="15" t="n"/>
      <c r="H81" s="18" t="n"/>
      <c r="I81" s="17" t="n"/>
      <c r="J81" s="18" t="n"/>
    </row>
    <row r="82">
      <c r="A82" s="15" t="n"/>
      <c r="B82" s="15" t="n"/>
      <c r="C82" s="15" t="n"/>
      <c r="D82" s="15" t="n"/>
      <c r="E82" s="24" t="n"/>
      <c r="F82" s="15" t="n"/>
      <c r="G82" s="15" t="n"/>
      <c r="H82" s="18" t="n"/>
      <c r="I82" s="17" t="n"/>
      <c r="J82" s="18" t="n"/>
    </row>
    <row r="83">
      <c r="A83" s="15" t="n"/>
      <c r="B83" s="15" t="n"/>
      <c r="C83" s="15" t="n"/>
      <c r="D83" s="15" t="n"/>
      <c r="E83" s="24" t="n"/>
      <c r="F83" s="15" t="n"/>
      <c r="G83" s="15" t="n"/>
      <c r="H83" s="18" t="n"/>
      <c r="I83" s="17" t="n"/>
      <c r="J83" s="18" t="n"/>
    </row>
    <row r="84">
      <c r="A84" s="15" t="n"/>
      <c r="B84" s="15" t="n"/>
      <c r="C84" s="15" t="n"/>
      <c r="D84" s="15" t="n"/>
      <c r="E84" s="24" t="n"/>
      <c r="F84" s="15" t="n"/>
      <c r="G84" s="15" t="n"/>
      <c r="H84" s="18" t="n"/>
      <c r="I84" s="17" t="n"/>
      <c r="J84" s="18" t="n"/>
    </row>
    <row r="85">
      <c r="A85" s="15" t="n"/>
      <c r="B85" s="15" t="n"/>
      <c r="C85" s="15" t="n"/>
      <c r="D85" s="15" t="n"/>
      <c r="E85" s="24" t="n"/>
      <c r="F85" s="15" t="n"/>
      <c r="G85" s="15" t="n"/>
      <c r="H85" s="18" t="n"/>
      <c r="I85" s="17" t="n"/>
      <c r="J85" s="18" t="n"/>
    </row>
    <row r="86">
      <c r="A86" s="15" t="n"/>
      <c r="B86" s="15" t="n"/>
      <c r="C86" s="15" t="n"/>
      <c r="D86" s="15" t="n"/>
      <c r="E86" s="24" t="n"/>
      <c r="F86" s="15" t="n"/>
      <c r="G86" s="15" t="n"/>
      <c r="H86" s="18" t="n"/>
      <c r="I86" s="17" t="n"/>
      <c r="J86" s="18" t="n"/>
    </row>
    <row r="87">
      <c r="A87" s="15" t="n"/>
      <c r="B87" s="15" t="n"/>
      <c r="C87" s="15" t="n"/>
      <c r="D87" s="15" t="n"/>
      <c r="E87" s="24" t="n"/>
      <c r="F87" s="15" t="n"/>
      <c r="G87" s="15" t="n"/>
      <c r="H87" s="18" t="n"/>
      <c r="I87" s="17" t="n"/>
      <c r="J87" s="18" t="n"/>
    </row>
    <row r="88">
      <c r="A88" s="15" t="n"/>
      <c r="B88" s="15" t="n"/>
      <c r="C88" s="15" t="n"/>
      <c r="D88" s="15" t="n"/>
      <c r="E88" s="24" t="n"/>
      <c r="F88" s="15" t="n"/>
      <c r="G88" s="15" t="n"/>
      <c r="H88" s="18" t="n"/>
      <c r="I88" s="17" t="n"/>
      <c r="J88" s="18" t="n"/>
    </row>
    <row r="89">
      <c r="A89" s="15" t="n"/>
      <c r="B89" s="15" t="n"/>
      <c r="C89" s="15" t="n"/>
      <c r="D89" s="15" t="n"/>
      <c r="E89" s="24" t="n"/>
      <c r="F89" s="15" t="n"/>
      <c r="G89" s="15" t="n"/>
      <c r="H89" s="18" t="n"/>
      <c r="I89" s="17" t="n"/>
      <c r="J89" s="18" t="n"/>
    </row>
    <row r="90">
      <c r="A90" s="15" t="n"/>
      <c r="B90" s="15" t="n"/>
      <c r="C90" s="15" t="n"/>
      <c r="D90" s="15" t="n"/>
      <c r="E90" s="24" t="n"/>
      <c r="F90" s="15" t="n"/>
      <c r="G90" s="15" t="n"/>
      <c r="H90" s="18" t="n"/>
      <c r="I90" s="17" t="n"/>
      <c r="J90" s="18" t="n"/>
    </row>
    <row r="91">
      <c r="A91" s="15" t="n"/>
      <c r="B91" s="15" t="n"/>
      <c r="C91" s="15" t="n"/>
      <c r="D91" s="15" t="n"/>
      <c r="E91" s="24" t="n"/>
      <c r="F91" s="15" t="n"/>
      <c r="G91" s="15" t="n"/>
      <c r="H91" s="18" t="n"/>
      <c r="I91" s="17" t="n"/>
      <c r="J91" s="18" t="n"/>
    </row>
    <row r="92">
      <c r="A92" s="15" t="n"/>
      <c r="B92" s="15" t="n"/>
      <c r="C92" s="15" t="n"/>
      <c r="D92" s="15" t="n"/>
      <c r="E92" s="24" t="n"/>
      <c r="F92" s="15" t="n"/>
      <c r="G92" s="15" t="n"/>
      <c r="H92" s="18" t="n"/>
      <c r="I92" s="17" t="n"/>
      <c r="J92" s="18" t="n"/>
    </row>
    <row r="93">
      <c r="A93" s="15" t="n"/>
      <c r="B93" s="15" t="n"/>
      <c r="C93" s="15" t="n"/>
      <c r="D93" s="15" t="n"/>
      <c r="E93" s="24" t="n"/>
      <c r="F93" s="15" t="n"/>
      <c r="G93" s="15" t="n"/>
      <c r="H93" s="18" t="n"/>
      <c r="I93" s="17" t="n"/>
      <c r="J93" s="18" t="n"/>
    </row>
    <row r="94">
      <c r="A94" s="15" t="n"/>
      <c r="B94" s="15" t="n"/>
      <c r="C94" s="15" t="n"/>
      <c r="D94" s="15" t="n"/>
      <c r="E94" s="24" t="n"/>
      <c r="F94" s="15" t="n"/>
      <c r="G94" s="15" t="n"/>
      <c r="H94" s="18" t="n"/>
      <c r="I94" s="17" t="n"/>
      <c r="J94" s="18" t="n"/>
    </row>
    <row r="95">
      <c r="A95" s="15" t="n"/>
      <c r="B95" s="15" t="n"/>
      <c r="C95" s="15" t="n"/>
      <c r="D95" s="15" t="n"/>
      <c r="E95" s="24" t="n"/>
      <c r="F95" s="15" t="n"/>
      <c r="G95" s="15" t="n"/>
      <c r="H95" s="18" t="n"/>
      <c r="I95" s="17" t="n"/>
      <c r="J95" s="18" t="n"/>
    </row>
    <row r="96">
      <c r="A96" s="15" t="n"/>
      <c r="B96" s="15" t="n"/>
      <c r="C96" s="15" t="n"/>
      <c r="D96" s="15" t="n"/>
      <c r="E96" s="24" t="n"/>
      <c r="F96" s="15" t="n"/>
      <c r="G96" s="15" t="n"/>
      <c r="H96" s="18" t="n"/>
      <c r="I96" s="17" t="n"/>
      <c r="J96" s="18" t="n"/>
    </row>
    <row r="97">
      <c r="A97" s="15" t="n"/>
      <c r="B97" s="15" t="n"/>
      <c r="C97" s="15" t="n"/>
      <c r="D97" s="15" t="n"/>
      <c r="E97" s="24" t="n"/>
      <c r="F97" s="15" t="n"/>
      <c r="G97" s="15" t="n"/>
      <c r="H97" s="18" t="n"/>
      <c r="I97" s="17" t="n"/>
      <c r="J97" s="18" t="n"/>
    </row>
    <row r="98">
      <c r="A98" s="15" t="n"/>
      <c r="B98" s="15" t="n"/>
      <c r="C98" s="15" t="n"/>
      <c r="D98" s="15" t="n"/>
      <c r="E98" s="24" t="n"/>
      <c r="F98" s="15" t="n"/>
      <c r="G98" s="15" t="n"/>
      <c r="H98" s="18" t="n"/>
      <c r="I98" s="17" t="n"/>
      <c r="J98" s="18" t="n"/>
    </row>
    <row r="99">
      <c r="A99" s="15" t="n"/>
      <c r="B99" s="15" t="n"/>
      <c r="C99" s="15" t="n"/>
      <c r="D99" s="15" t="n"/>
      <c r="E99" s="24" t="n"/>
      <c r="F99" s="15" t="n"/>
      <c r="G99" s="15" t="n"/>
      <c r="H99" s="18" t="n"/>
      <c r="I99" s="17" t="n"/>
      <c r="J99" s="18" t="n"/>
    </row>
    <row r="100">
      <c r="A100" s="15" t="n"/>
      <c r="B100" s="15" t="n"/>
      <c r="C100" s="15" t="n"/>
      <c r="D100" s="15" t="n"/>
      <c r="E100" s="24" t="n"/>
      <c r="F100" s="15" t="n"/>
      <c r="G100" s="15" t="n"/>
      <c r="H100" s="18" t="n"/>
      <c r="I100" s="17" t="n"/>
      <c r="J100" s="18" t="n"/>
    </row>
    <row r="101">
      <c r="A101" s="15" t="n"/>
      <c r="B101" s="15" t="n"/>
      <c r="C101" s="15" t="n"/>
      <c r="D101" s="15" t="n"/>
      <c r="E101" s="24" t="n"/>
      <c r="F101" s="15" t="n"/>
      <c r="G101" s="15" t="n"/>
      <c r="H101" s="18" t="n"/>
      <c r="I101" s="17" t="n"/>
      <c r="J101" s="18" t="n"/>
    </row>
    <row r="102">
      <c r="A102" s="15" t="n"/>
      <c r="B102" s="15" t="n"/>
      <c r="C102" s="15" t="n"/>
      <c r="D102" s="15" t="n"/>
      <c r="E102" s="24" t="n"/>
      <c r="F102" s="15" t="n"/>
      <c r="G102" s="15" t="n"/>
      <c r="H102" s="18" t="n"/>
      <c r="I102" s="17" t="n"/>
      <c r="J102" s="18" t="n"/>
    </row>
    <row r="103">
      <c r="A103" s="15" t="n"/>
      <c r="B103" s="15" t="n"/>
      <c r="C103" s="15" t="n"/>
      <c r="D103" s="15" t="n"/>
      <c r="E103" s="24" t="n"/>
      <c r="F103" s="15" t="n"/>
      <c r="G103" s="15" t="n"/>
      <c r="H103" s="18" t="n"/>
      <c r="I103" s="17" t="n"/>
      <c r="J103" s="18" t="n"/>
    </row>
  </sheetData>
  <mergeCells count="1">
    <mergeCell ref="A2:J2"/>
  </mergeCells>
  <dataValidations count="4">
    <dataValidation sqref="G4:G103" showDropDown="0" showInputMessage="0" showErrorMessage="1" allowBlank="1" errorTitle="Sayarti+" error="Choose from the list" type="list">
      <formula1>"Petrol,Diesel,CNG,Hybrid,Electric"</formula1>
    </dataValidation>
    <dataValidation sqref="I4:I103" showDropDown="0" showInputMessage="0" showErrorMessage="1" allowBlank="1" error="Enter a valid date" type="date" operator="greaterThan">
      <formula1>36526</formula1>
    </dataValidation>
    <dataValidation sqref="H4:H103" showDropDown="0" showInputMessage="0" showErrorMessage="1" allowBlank="1" error="Enter a number" type="decimal" operator="greaterThanOrEqual">
      <formula1>0</formula1>
    </dataValidation>
    <dataValidation sqref="J4:J103" showDropDown="0" showInputMessage="0" showErrorMessage="1" allowBlank="1" error="Enter a number" type="decimal" operator="greaterThanOrEqual">
      <formula1>0</formula1>
    </dataValidation>
  </dataValidations>
  <printOptions horizontalCentered="1"/>
  <pageMargins left="0.5" right="0.5" top="0.6" bottom="0.7" header="0.5" footer="0.5"/>
  <pageSetup orientation="landscape" paperSize="9" fitToHeight="0" fitToWidth="1"/>
  <headerFooter>
    <oddHeader/>
    <oddFooter>&amp;C&amp;"Arial"&amp;8 From Sayarti+ — sayartiplus.com · Not affiliated with any government entity&amp;R&amp;8 &amp;P /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G33"/>
  <sheetViews>
    <sheetView showGridLines="0" rightToLeft="0" tabSelected="0" zoomScale="110" workbookViewId="0">
      <pane ySplit="3" topLeftCell="A4" activePane="bottomLeft" state="frozen"/>
      <selection pane="bottomLeft" activeCell="A1" sqref="A1"/>
    </sheetView>
  </sheetViews>
  <sheetFormatPr baseColWidth="8" defaultRowHeight="15"/>
  <cols>
    <col width="10" customWidth="1" min="1" max="1"/>
    <col width="34" customWidth="1" min="2" max="2"/>
    <col width="11" customWidth="1" min="3" max="3"/>
    <col width="11" customWidth="1" min="4" max="4"/>
    <col width="13" customWidth="1" min="5" max="5"/>
    <col width="13" customWidth="1" min="6" max="6"/>
    <col width="9" customWidth="1" min="7" max="7"/>
  </cols>
  <sheetData>
    <row r="1" ht="30" customHeight="1">
      <c r="A1" s="1" t="inlineStr">
        <is>
          <t>Fleet maintenance schedule · Intervals</t>
        </is>
      </c>
      <c r="B1" s="2" t="n"/>
      <c r="C1" s="2" t="n"/>
      <c r="D1" s="2" t="n"/>
      <c r="E1" s="2" t="n"/>
      <c r="F1" s="2" t="n"/>
      <c r="G1" s="3" t="inlineStr">
        <is>
          <t>From Sayarti+ — sayartiplus.com</t>
        </is>
      </c>
    </row>
    <row r="2" ht="58" customHeight="1">
      <c r="A2" s="4" t="inlineStr">
        <is>
          <t>Hot-climate and dust intervals, the same as the Sayarti+ app and our maintenance schedule page. The owner's manual comes first. Change an interval here and every car recalculates. Add new items (M17…) for trucks and buses. Electric cars have no engine oil, spark plugs or engine air filter: don't add those items for them.</t>
        </is>
      </c>
    </row>
    <row r="3" ht="34" customHeight="1">
      <c r="A3" s="5" t="inlineStr">
        <is>
          <t>Item ID</t>
        </is>
      </c>
      <c r="B3" s="5" t="inlineStr">
        <is>
          <t>Item</t>
        </is>
      </c>
      <c r="C3" s="5" t="inlineStr">
        <is>
          <t>Every km</t>
        </is>
      </c>
      <c r="D3" s="5" t="inlineStr">
        <is>
          <t>Every months</t>
        </is>
      </c>
      <c r="E3" s="5" t="inlineStr">
        <is>
          <t>Warn before (km)</t>
        </is>
      </c>
      <c r="F3" s="5" t="inlineStr">
        <is>
          <t>Warn before (days)</t>
        </is>
      </c>
      <c r="G3" s="5" t="inlineStr">
        <is>
          <t>Active</t>
        </is>
      </c>
    </row>
    <row r="4">
      <c r="A4" s="15" t="inlineStr">
        <is>
          <t>M01</t>
        </is>
      </c>
      <c r="B4" s="15" t="inlineStr">
        <is>
          <t>Engine oil and oil filter</t>
        </is>
      </c>
      <c r="C4" s="18" t="n">
        <v>5000</v>
      </c>
      <c r="D4" s="24" t="n">
        <v>6</v>
      </c>
      <c r="E4" s="18" t="n">
        <v>500</v>
      </c>
      <c r="F4" s="24" t="n">
        <v>14</v>
      </c>
      <c r="G4" s="15" t="inlineStr">
        <is>
          <t>Yes</t>
        </is>
      </c>
    </row>
    <row r="5">
      <c r="A5" s="15" t="inlineStr">
        <is>
          <t>M02</t>
        </is>
      </c>
      <c r="B5" s="15" t="inlineStr">
        <is>
          <t>Engine air filter</t>
        </is>
      </c>
      <c r="C5" s="18" t="n">
        <v>10000</v>
      </c>
      <c r="D5" s="24" t="n">
        <v>12</v>
      </c>
      <c r="E5" s="18" t="n">
        <v>500</v>
      </c>
      <c r="F5" s="24" t="n">
        <v>14</v>
      </c>
      <c r="G5" s="15" t="inlineStr">
        <is>
          <t>Yes</t>
        </is>
      </c>
    </row>
    <row r="6">
      <c r="A6" s="15" t="inlineStr">
        <is>
          <t>M03</t>
        </is>
      </c>
      <c r="B6" s="15" t="inlineStr">
        <is>
          <t>Cabin (A/C) filter</t>
        </is>
      </c>
      <c r="C6" s="18" t="n">
        <v>10000</v>
      </c>
      <c r="D6" s="24" t="n">
        <v>6</v>
      </c>
      <c r="E6" s="18" t="n">
        <v>500</v>
      </c>
      <c r="F6" s="24" t="n">
        <v>14</v>
      </c>
      <c r="G6" s="15" t="inlineStr">
        <is>
          <t>Yes</t>
        </is>
      </c>
    </row>
    <row r="7">
      <c r="A7" s="15" t="inlineStr">
        <is>
          <t>M04</t>
        </is>
      </c>
      <c r="B7" s="15" t="inlineStr">
        <is>
          <t>A/C service</t>
        </is>
      </c>
      <c r="C7" s="18" t="n"/>
      <c r="D7" s="24" t="n">
        <v>12</v>
      </c>
      <c r="E7" s="18" t="n">
        <v>500</v>
      </c>
      <c r="F7" s="24" t="n">
        <v>14</v>
      </c>
      <c r="G7" s="15" t="inlineStr">
        <is>
          <t>Yes</t>
        </is>
      </c>
    </row>
    <row r="8">
      <c r="A8" s="15" t="inlineStr">
        <is>
          <t>M05</t>
        </is>
      </c>
      <c r="B8" s="15" t="inlineStr">
        <is>
          <t>Battery check</t>
        </is>
      </c>
      <c r="C8" s="18" t="n"/>
      <c r="D8" s="24" t="n">
        <v>6</v>
      </c>
      <c r="E8" s="18" t="n">
        <v>500</v>
      </c>
      <c r="F8" s="24" t="n">
        <v>14</v>
      </c>
      <c r="G8" s="15" t="inlineStr">
        <is>
          <t>Yes</t>
        </is>
      </c>
    </row>
    <row r="9">
      <c r="A9" s="15" t="inlineStr">
        <is>
          <t>M06</t>
        </is>
      </c>
      <c r="B9" s="15" t="inlineStr">
        <is>
          <t>Battery replacement</t>
        </is>
      </c>
      <c r="C9" s="18" t="n"/>
      <c r="D9" s="24" t="n">
        <v>24</v>
      </c>
      <c r="E9" s="18" t="n">
        <v>500</v>
      </c>
      <c r="F9" s="24" t="n">
        <v>14</v>
      </c>
      <c r="G9" s="15" t="inlineStr">
        <is>
          <t>Yes</t>
        </is>
      </c>
    </row>
    <row r="10">
      <c r="A10" s="15" t="inlineStr">
        <is>
          <t>M07</t>
        </is>
      </c>
      <c r="B10" s="15" t="inlineStr">
        <is>
          <t>Tyre rotation</t>
        </is>
      </c>
      <c r="C10" s="18" t="n">
        <v>10000</v>
      </c>
      <c r="D10" s="24" t="n"/>
      <c r="E10" s="18" t="n">
        <v>500</v>
      </c>
      <c r="F10" s="24" t="n">
        <v>14</v>
      </c>
      <c r="G10" s="15" t="inlineStr">
        <is>
          <t>Yes</t>
        </is>
      </c>
    </row>
    <row r="11">
      <c r="A11" s="15" t="inlineStr">
        <is>
          <t>M08</t>
        </is>
      </c>
      <c r="B11" s="15" t="inlineStr">
        <is>
          <t>Tyre replacement</t>
        </is>
      </c>
      <c r="C11" s="18" t="n">
        <v>40000</v>
      </c>
      <c r="D11" s="24" t="n">
        <v>48</v>
      </c>
      <c r="E11" s="18" t="n">
        <v>500</v>
      </c>
      <c r="F11" s="24" t="n">
        <v>14</v>
      </c>
      <c r="G11" s="15" t="inlineStr">
        <is>
          <t>Yes</t>
        </is>
      </c>
    </row>
    <row r="12">
      <c r="A12" s="15" t="inlineStr">
        <is>
          <t>M09</t>
        </is>
      </c>
      <c r="B12" s="15" t="inlineStr">
        <is>
          <t>Brake pads inspection</t>
        </is>
      </c>
      <c r="C12" s="18" t="n">
        <v>20000</v>
      </c>
      <c r="D12" s="24" t="n"/>
      <c r="E12" s="18" t="n">
        <v>500</v>
      </c>
      <c r="F12" s="24" t="n">
        <v>14</v>
      </c>
      <c r="G12" s="15" t="inlineStr">
        <is>
          <t>Yes</t>
        </is>
      </c>
    </row>
    <row r="13">
      <c r="A13" s="15" t="inlineStr">
        <is>
          <t>M10</t>
        </is>
      </c>
      <c r="B13" s="15" t="inlineStr">
        <is>
          <t>Brake fluid</t>
        </is>
      </c>
      <c r="C13" s="18" t="n"/>
      <c r="D13" s="24" t="n">
        <v>24</v>
      </c>
      <c r="E13" s="18" t="n">
        <v>500</v>
      </c>
      <c r="F13" s="24" t="n">
        <v>14</v>
      </c>
      <c r="G13" s="15" t="inlineStr">
        <is>
          <t>Yes</t>
        </is>
      </c>
    </row>
    <row r="14">
      <c r="A14" s="15" t="inlineStr">
        <is>
          <t>M11</t>
        </is>
      </c>
      <c r="B14" s="15" t="inlineStr">
        <is>
          <t>Coolant</t>
        </is>
      </c>
      <c r="C14" s="18" t="n">
        <v>40000</v>
      </c>
      <c r="D14" s="24" t="n">
        <v>24</v>
      </c>
      <c r="E14" s="18" t="n">
        <v>500</v>
      </c>
      <c r="F14" s="24" t="n">
        <v>14</v>
      </c>
      <c r="G14" s="15" t="inlineStr">
        <is>
          <t>Yes</t>
        </is>
      </c>
    </row>
    <row r="15">
      <c r="A15" s="15" t="inlineStr">
        <is>
          <t>M12</t>
        </is>
      </c>
      <c r="B15" s="15" t="inlineStr">
        <is>
          <t>Spark plugs</t>
        </is>
      </c>
      <c r="C15" s="18" t="n">
        <v>40000</v>
      </c>
      <c r="D15" s="24" t="n"/>
      <c r="E15" s="18" t="n">
        <v>500</v>
      </c>
      <c r="F15" s="24" t="n">
        <v>14</v>
      </c>
      <c r="G15" s="15" t="inlineStr">
        <is>
          <t>Yes</t>
        </is>
      </c>
    </row>
    <row r="16">
      <c r="A16" s="15" t="inlineStr">
        <is>
          <t>M13</t>
        </is>
      </c>
      <c r="B16" s="15" t="inlineStr">
        <is>
          <t>Transmission fluid</t>
        </is>
      </c>
      <c r="C16" s="18" t="n">
        <v>60000</v>
      </c>
      <c r="D16" s="24" t="n"/>
      <c r="E16" s="18" t="n">
        <v>500</v>
      </c>
      <c r="F16" s="24" t="n">
        <v>14</v>
      </c>
      <c r="G16" s="15" t="inlineStr">
        <is>
          <t>Yes</t>
        </is>
      </c>
    </row>
    <row r="17">
      <c r="A17" s="15" t="inlineStr">
        <is>
          <t>M14</t>
        </is>
      </c>
      <c r="B17" s="15" t="inlineStr">
        <is>
          <t>CNG kit service (CNG cars)</t>
        </is>
      </c>
      <c r="C17" s="18" t="n">
        <v>10000</v>
      </c>
      <c r="D17" s="24" t="n">
        <v>6</v>
      </c>
      <c r="E17" s="18" t="n">
        <v>500</v>
      </c>
      <c r="F17" s="24" t="n">
        <v>14</v>
      </c>
      <c r="G17" s="15" t="inlineStr">
        <is>
          <t>Yes</t>
        </is>
      </c>
    </row>
    <row r="18">
      <c r="A18" s="15" t="inlineStr">
        <is>
          <t>M15</t>
        </is>
      </c>
      <c r="B18" s="15" t="inlineStr">
        <is>
          <t>Timing belt (if fitted)</t>
        </is>
      </c>
      <c r="C18" s="18" t="n">
        <v>80000</v>
      </c>
      <c r="D18" s="24" t="n"/>
      <c r="E18" s="18" t="n">
        <v>500</v>
      </c>
      <c r="F18" s="24" t="n">
        <v>14</v>
      </c>
      <c r="G18" s="15" t="inlineStr">
        <is>
          <t>Yes</t>
        </is>
      </c>
    </row>
    <row r="19">
      <c r="A19" s="15" t="inlineStr">
        <is>
          <t>M16</t>
        </is>
      </c>
      <c r="B19" s="15" t="inlineStr">
        <is>
          <t>Wiper blades</t>
        </is>
      </c>
      <c r="C19" s="18" t="n"/>
      <c r="D19" s="24" t="n">
        <v>12</v>
      </c>
      <c r="E19" s="18" t="n">
        <v>500</v>
      </c>
      <c r="F19" s="24" t="n">
        <v>14</v>
      </c>
      <c r="G19" s="15" t="inlineStr">
        <is>
          <t>Yes</t>
        </is>
      </c>
    </row>
    <row r="20">
      <c r="A20" s="15" t="n"/>
      <c r="B20" s="15" t="n"/>
      <c r="C20" s="18" t="n"/>
      <c r="D20" s="24" t="n"/>
      <c r="E20" s="18" t="n"/>
      <c r="F20" s="24" t="n"/>
      <c r="G20" s="15" t="n"/>
    </row>
    <row r="21">
      <c r="A21" s="15" t="n"/>
      <c r="B21" s="15" t="n"/>
      <c r="C21" s="18" t="n"/>
      <c r="D21" s="24" t="n"/>
      <c r="E21" s="18" t="n"/>
      <c r="F21" s="24" t="n"/>
      <c r="G21" s="15" t="n"/>
    </row>
    <row r="22">
      <c r="A22" s="15" t="n"/>
      <c r="B22" s="15" t="n"/>
      <c r="C22" s="18" t="n"/>
      <c r="D22" s="24" t="n"/>
      <c r="E22" s="18" t="n"/>
      <c r="F22" s="24" t="n"/>
      <c r="G22" s="15" t="n"/>
    </row>
    <row r="23">
      <c r="A23" s="15" t="n"/>
      <c r="B23" s="15" t="n"/>
      <c r="C23" s="18" t="n"/>
      <c r="D23" s="24" t="n"/>
      <c r="E23" s="18" t="n"/>
      <c r="F23" s="24" t="n"/>
      <c r="G23" s="15" t="n"/>
    </row>
    <row r="24">
      <c r="A24" s="15" t="n"/>
      <c r="B24" s="15" t="n"/>
      <c r="C24" s="18" t="n"/>
      <c r="D24" s="24" t="n"/>
      <c r="E24" s="18" t="n"/>
      <c r="F24" s="24" t="n"/>
      <c r="G24" s="15" t="n"/>
    </row>
    <row r="25">
      <c r="A25" s="15" t="n"/>
      <c r="B25" s="15" t="n"/>
      <c r="C25" s="18" t="n"/>
      <c r="D25" s="24" t="n"/>
      <c r="E25" s="18" t="n"/>
      <c r="F25" s="24" t="n"/>
      <c r="G25" s="15" t="n"/>
    </row>
    <row r="26">
      <c r="A26" s="15" t="n"/>
      <c r="B26" s="15" t="n"/>
      <c r="C26" s="18" t="n"/>
      <c r="D26" s="24" t="n"/>
      <c r="E26" s="18" t="n"/>
      <c r="F26" s="24" t="n"/>
      <c r="G26" s="15" t="n"/>
    </row>
    <row r="27">
      <c r="A27" s="15" t="n"/>
      <c r="B27" s="15" t="n"/>
      <c r="C27" s="18" t="n"/>
      <c r="D27" s="24" t="n"/>
      <c r="E27" s="18" t="n"/>
      <c r="F27" s="24" t="n"/>
      <c r="G27" s="15" t="n"/>
    </row>
    <row r="28">
      <c r="A28" s="15" t="n"/>
      <c r="B28" s="15" t="n"/>
      <c r="C28" s="18" t="n"/>
      <c r="D28" s="24" t="n"/>
      <c r="E28" s="18" t="n"/>
      <c r="F28" s="24" t="n"/>
      <c r="G28" s="15" t="n"/>
    </row>
    <row r="29">
      <c r="A29" s="15" t="n"/>
      <c r="B29" s="15" t="n"/>
      <c r="C29" s="18" t="n"/>
      <c r="D29" s="24" t="n"/>
      <c r="E29" s="18" t="n"/>
      <c r="F29" s="24" t="n"/>
      <c r="G29" s="15" t="n"/>
    </row>
    <row r="30">
      <c r="A30" s="15" t="n"/>
      <c r="B30" s="15" t="n"/>
      <c r="C30" s="18" t="n"/>
      <c r="D30" s="24" t="n"/>
      <c r="E30" s="18" t="n"/>
      <c r="F30" s="24" t="n"/>
      <c r="G30" s="15" t="n"/>
    </row>
    <row r="31">
      <c r="A31" s="15" t="n"/>
      <c r="B31" s="15" t="n"/>
      <c r="C31" s="18" t="n"/>
      <c r="D31" s="24" t="n"/>
      <c r="E31" s="18" t="n"/>
      <c r="F31" s="24" t="n"/>
      <c r="G31" s="15" t="n"/>
    </row>
    <row r="32">
      <c r="A32" s="15" t="n"/>
      <c r="B32" s="15" t="n"/>
      <c r="C32" s="18" t="n"/>
      <c r="D32" s="24" t="n"/>
      <c r="E32" s="18" t="n"/>
      <c r="F32" s="24" t="n"/>
      <c r="G32" s="15" t="n"/>
    </row>
    <row r="33">
      <c r="A33" s="15" t="n"/>
      <c r="B33" s="15" t="n"/>
      <c r="C33" s="18" t="n"/>
      <c r="D33" s="24" t="n"/>
      <c r="E33" s="18" t="n"/>
      <c r="F33" s="24" t="n"/>
      <c r="G33" s="15" t="n"/>
    </row>
  </sheetData>
  <mergeCells count="1">
    <mergeCell ref="A2:G2"/>
  </mergeCells>
  <dataValidations count="5">
    <dataValidation sqref="G4:G33" showDropDown="0" showInputMessage="0" showErrorMessage="1" allowBlank="1" errorTitle="Sayarti+" error="Choose from the list" type="list">
      <formula1>"Yes,No"</formula1>
    </dataValidation>
    <dataValidation sqref="C4:C33" showDropDown="0" showInputMessage="0" showErrorMessage="1" allowBlank="1" error="Enter a number" type="decimal" operator="greaterThanOrEqual">
      <formula1>0</formula1>
    </dataValidation>
    <dataValidation sqref="D4:D33" showDropDown="0" showInputMessage="0" showErrorMessage="1" allowBlank="1" error="Enter a number" type="decimal" operator="greaterThanOrEqual">
      <formula1>0</formula1>
    </dataValidation>
    <dataValidation sqref="E4:E33" showDropDown="0" showInputMessage="0" showErrorMessage="1" allowBlank="1" error="Enter a number" type="decimal" operator="greaterThanOrEqual">
      <formula1>0</formula1>
    </dataValidation>
    <dataValidation sqref="F4:F33" showDropDown="0" showInputMessage="0" showErrorMessage="1" allowBlank="1" error="Enter a number" type="decimal" operator="greaterThanOrEqual">
      <formula1>0</formula1>
    </dataValidation>
  </dataValidations>
  <printOptions horizontalCentered="1"/>
  <pageMargins left="0.5" right="0.5" top="0.6" bottom="0.7" header="0.5" footer="0.5"/>
  <pageSetup orientation="portrait" paperSize="9" fitToHeight="0" fitToWidth="1"/>
  <headerFooter>
    <oddHeader/>
    <oddFooter>&amp;C&amp;"Arial"&amp;8 From Sayarti+ — sayartiplus.com · Not affiliated with any government entity&amp;R&amp;8 &amp;P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Sayarti+</dc:creator>
  <dc:title xmlns:dc="http://purl.org/dc/elements/1.1/">Fleet maintenance schedule</dc:title>
  <dcterms:created xmlns:dcterms="http://purl.org/dc/terms/" xmlns:xsi="http://www.w3.org/2001/XMLSchema-instance" xsi:type="dcterms:W3CDTF">2026-10-28T13:33:26Z</dcterms:created>
  <dcterms:modified xmlns:dcterms="http://purl.org/dc/terms/" xmlns:xsi="http://www.w3.org/2001/XMLSchema-instance" xsi:type="dcterms:W3CDTF">2026-10-28T13:33:27Z</dcterms:modified>
</cp:coreProperties>
</file>